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20" sheetId="1" r:id="rId1"/>
    <sheet name="350" sheetId="2" r:id="rId2"/>
  </sheets>
  <definedNames>
    <definedName name="_xlnm.Print_Area" localSheetId="0">'320'!$D$11:$Y$147</definedName>
    <definedName name="_xlnm.Print_Area" localSheetId="1">'350'!$D$11:$Y$147</definedName>
  </definedNames>
  <calcPr fullCalcOnLoad="1"/>
</workbook>
</file>

<file path=xl/sharedStrings.xml><?xml version="1.0" encoding="utf-8"?>
<sst xmlns="http://schemas.openxmlformats.org/spreadsheetml/2006/main" count="369" uniqueCount="41">
  <si>
    <t>TR 110/333</t>
  </si>
  <si>
    <t>Weff.pos</t>
  </si>
  <si>
    <t>Weff.neg</t>
  </si>
  <si>
    <t>Ieff</t>
  </si>
  <si>
    <t>Ieff.n</t>
  </si>
  <si>
    <t>Rw.R-end</t>
  </si>
  <si>
    <t>Rw.R-int</t>
  </si>
  <si>
    <t>redistribuce-160</t>
  </si>
  <si>
    <t>redistribuce-120</t>
  </si>
  <si>
    <t>Rd</t>
  </si>
  <si>
    <t>E</t>
  </si>
  <si>
    <t>S320</t>
  </si>
  <si>
    <t>Prostý</t>
  </si>
  <si>
    <t>t</t>
  </si>
  <si>
    <t>R.w,R</t>
  </si>
  <si>
    <t>t [mm]</t>
  </si>
  <si>
    <t>L [m]</t>
  </si>
  <si>
    <t>Positiv</t>
  </si>
  <si>
    <t>qd</t>
  </si>
  <si>
    <t>qb</t>
  </si>
  <si>
    <t>Mb0</t>
  </si>
  <si>
    <t>Mb/q160</t>
  </si>
  <si>
    <t>A</t>
  </si>
  <si>
    <t>B</t>
  </si>
  <si>
    <t>qb.end</t>
  </si>
  <si>
    <t>qd-pole</t>
  </si>
  <si>
    <t>qb(100)</t>
  </si>
  <si>
    <t>Mb/q120</t>
  </si>
  <si>
    <t>Ieff,n</t>
  </si>
  <si>
    <t>Ieff(MSP)</t>
  </si>
  <si>
    <t>b</t>
  </si>
  <si>
    <t>S350</t>
  </si>
  <si>
    <r>
      <t>g</t>
    </r>
    <r>
      <rPr>
        <vertAlign val="subscript"/>
        <sz val="10"/>
        <rFont val="Arial"/>
        <family val="2"/>
      </rPr>
      <t>M</t>
    </r>
  </si>
  <si>
    <r>
      <t>Přípustné zatížení q [ kN/m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]</t>
    </r>
  </si>
  <si>
    <r>
      <t>kg/m</t>
    </r>
    <r>
      <rPr>
        <b/>
        <vertAlign val="superscript"/>
        <sz val="8"/>
        <rFont val="Arial"/>
        <family val="2"/>
      </rPr>
      <t>2</t>
    </r>
  </si>
  <si>
    <r>
      <t>q</t>
    </r>
    <r>
      <rPr>
        <vertAlign val="subscript"/>
        <sz val="8"/>
        <rFont val="Arial"/>
        <family val="2"/>
      </rPr>
      <t>d</t>
    </r>
  </si>
  <si>
    <r>
      <t>q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>(L/150)</t>
    </r>
  </si>
  <si>
    <r>
      <t>q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>(L/300)</t>
    </r>
  </si>
  <si>
    <r>
      <t>q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>(160)</t>
    </r>
  </si>
  <si>
    <r>
      <t>q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>(100)</t>
    </r>
  </si>
  <si>
    <r>
      <t>Přípustné zatížení q [ kN/m</t>
    </r>
    <r>
      <rPr>
        <b/>
        <vertAlign val="superscript"/>
        <sz val="9"/>
        <rFont val="Arial CE"/>
        <family val="2"/>
      </rPr>
      <t xml:space="preserve">2 </t>
    </r>
    <r>
      <rPr>
        <b/>
        <sz val="9"/>
        <rFont val="Arial CE"/>
        <family val="2"/>
      </rPr>
      <t>]</t>
    </r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</si>
</sst>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#,##0;&quot;-&quot;#,##0"/>
    <numFmt numFmtId="189" formatCode="#,##0;[Red]&quot;-&quot;#,##0"/>
    <numFmt numFmtId="190" formatCode="#,##0.00;&quot;-&quot;#,##0.00"/>
    <numFmt numFmtId="191" formatCode="#,##0.00;[Red]&quot;-&quot;#,##0.00"/>
    <numFmt numFmtId="192" formatCode="#\ ?/?"/>
    <numFmt numFmtId="193" formatCode="#\ ??/??"/>
    <numFmt numFmtId="194" formatCode="d\-m\-yy"/>
    <numFmt numFmtId="195" formatCode="d\-m\-yy\ hh:mm"/>
    <numFmt numFmtId="196" formatCode="General_)"/>
    <numFmt numFmtId="197" formatCode="0.00_)"/>
    <numFmt numFmtId="198" formatCode="0.000_)"/>
    <numFmt numFmtId="199" formatCode="0.0%"/>
    <numFmt numFmtId="200" formatCode="0.000"/>
    <numFmt numFmtId="201" formatCode="0.0"/>
  </numFmts>
  <fonts count="32">
    <font>
      <sz val="10"/>
      <name val="NimbusSans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36"/>
      <name val="NimbusSans"/>
      <family val="2"/>
    </font>
    <font>
      <u val="single"/>
      <sz val="10"/>
      <color indexed="12"/>
      <name val="NimbusSans"/>
      <family val="2"/>
    </font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9"/>
      <color indexed="8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0" xfId="20" applyNumberFormat="1" applyFont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11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1" fontId="9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20" applyNumberFormat="1" applyFont="1">
      <alignment/>
      <protection/>
    </xf>
    <xf numFmtId="0" fontId="23" fillId="0" borderId="0" xfId="0" applyFont="1" applyAlignment="1">
      <alignment/>
    </xf>
    <xf numFmtId="0" fontId="7" fillId="0" borderId="2" xfId="0" applyFont="1" applyBorder="1" applyAlignment="1">
      <alignment/>
    </xf>
    <xf numFmtId="0" fontId="9" fillId="0" borderId="1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20" applyNumberFormat="1" applyFont="1" applyProtection="1">
      <alignment/>
      <protection hidden="1"/>
    </xf>
    <xf numFmtId="0" fontId="10" fillId="0" borderId="0" xfId="0" applyNumberFormat="1" applyFont="1" applyBorder="1" applyAlignment="1" applyProtection="1">
      <alignment/>
      <protection hidden="1"/>
    </xf>
    <xf numFmtId="0" fontId="10" fillId="0" borderId="0" xfId="20" applyNumberFormat="1" applyFont="1" applyProtection="1">
      <alignment/>
      <protection hidden="1"/>
    </xf>
    <xf numFmtId="0" fontId="10" fillId="0" borderId="0" xfId="22" applyNumberFormat="1" applyFont="1" applyBorder="1" applyProtection="1">
      <alignment/>
      <protection hidden="1"/>
    </xf>
    <xf numFmtId="0" fontId="10" fillId="0" borderId="0" xfId="21" applyNumberFormat="1" applyFont="1" applyProtection="1">
      <alignment/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2" fontId="10" fillId="0" borderId="0" xfId="20" applyNumberFormat="1" applyFont="1" applyProtection="1">
      <alignment/>
      <protection hidden="1"/>
    </xf>
    <xf numFmtId="0" fontId="9" fillId="0" borderId="0" xfId="0" applyNumberFormat="1" applyFont="1" applyBorder="1" applyAlignment="1" applyProtection="1">
      <alignment vertical="center"/>
      <protection hidden="1"/>
    </xf>
    <xf numFmtId="201" fontId="10" fillId="0" borderId="0" xfId="20" applyNumberFormat="1" applyFo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 locked="0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2" fontId="11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2" fontId="11" fillId="0" borderId="2" xfId="0" applyNumberFormat="1" applyFont="1" applyBorder="1" applyAlignment="1" applyProtection="1">
      <alignment vertical="center"/>
      <protection hidden="1"/>
    </xf>
    <xf numFmtId="0" fontId="17" fillId="0" borderId="6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2" fontId="17" fillId="0" borderId="9" xfId="0" applyNumberFormat="1" applyFont="1" applyBorder="1" applyAlignment="1" applyProtection="1">
      <alignment vertical="center"/>
      <protection hidden="1"/>
    </xf>
    <xf numFmtId="2" fontId="17" fillId="0" borderId="10" xfId="0" applyNumberFormat="1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2" fontId="10" fillId="0" borderId="13" xfId="0" applyNumberFormat="1" applyFont="1" applyBorder="1" applyAlignment="1" applyProtection="1">
      <alignment vertical="center"/>
      <protection hidden="1"/>
    </xf>
    <xf numFmtId="2" fontId="10" fillId="0" borderId="14" xfId="0" applyNumberFormat="1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2" fontId="10" fillId="0" borderId="16" xfId="0" applyNumberFormat="1" applyFont="1" applyBorder="1" applyAlignment="1" applyProtection="1">
      <alignment vertical="center"/>
      <protection hidden="1"/>
    </xf>
    <xf numFmtId="2" fontId="10" fillId="0" borderId="17" xfId="0" applyNumberFormat="1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2" fontId="10" fillId="0" borderId="19" xfId="0" applyNumberFormat="1" applyFont="1" applyBorder="1" applyAlignment="1" applyProtection="1">
      <alignment vertical="center"/>
      <protection hidden="1"/>
    </xf>
    <xf numFmtId="2" fontId="10" fillId="0" borderId="20" xfId="0" applyNumberFormat="1" applyFont="1" applyBorder="1" applyAlignment="1" applyProtection="1">
      <alignment vertical="center"/>
      <protection hidden="1"/>
    </xf>
    <xf numFmtId="2" fontId="17" fillId="0" borderId="11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vertical="center"/>
      <protection hidden="1"/>
    </xf>
    <xf numFmtId="0" fontId="17" fillId="0" borderId="21" xfId="0" applyFont="1" applyBorder="1" applyAlignment="1" applyProtection="1">
      <alignment vertical="center"/>
      <protection hidden="1"/>
    </xf>
    <xf numFmtId="2" fontId="17" fillId="0" borderId="22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2" fontId="24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27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20" applyNumberFormat="1" applyFo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7" fillId="0" borderId="0" xfId="20" applyFont="1" applyProtection="1">
      <alignment/>
      <protection hidden="1"/>
    </xf>
    <xf numFmtId="0" fontId="27" fillId="0" borderId="0" xfId="22" applyFont="1" applyBorder="1" applyProtection="1">
      <alignment/>
      <protection hidden="1"/>
    </xf>
    <xf numFmtId="0" fontId="25" fillId="0" borderId="0" xfId="21" applyFont="1" applyProtection="1">
      <alignment/>
      <protection hidden="1"/>
    </xf>
    <xf numFmtId="2" fontId="24" fillId="0" borderId="0" xfId="0" applyNumberFormat="1" applyFont="1" applyBorder="1" applyAlignment="1" applyProtection="1">
      <alignment vertical="center"/>
      <protection hidden="1"/>
    </xf>
    <xf numFmtId="0" fontId="27" fillId="0" borderId="2" xfId="22" applyFont="1" applyBorder="1" applyProtection="1">
      <alignment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0" fontId="24" fillId="0" borderId="0" xfId="22" applyNumberFormat="1" applyFont="1" applyBorder="1" applyProtection="1">
      <alignment/>
      <protection hidden="1"/>
    </xf>
    <xf numFmtId="0" fontId="7" fillId="0" borderId="0" xfId="20" applyNumberFormat="1" applyFont="1" applyProtection="1">
      <alignment/>
      <protection hidden="1"/>
    </xf>
    <xf numFmtId="0" fontId="24" fillId="0" borderId="0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2" xfId="0" applyFont="1" applyBorder="1" applyAlignment="1" applyProtection="1">
      <alignment vertical="center"/>
      <protection hidden="1"/>
    </xf>
    <xf numFmtId="0" fontId="29" fillId="0" borderId="2" xfId="0" applyFont="1" applyBorder="1" applyAlignment="1" applyProtection="1">
      <alignment vertical="center"/>
      <protection hidden="1"/>
    </xf>
    <xf numFmtId="0" fontId="25" fillId="0" borderId="2" xfId="0" applyFont="1" applyBorder="1" applyAlignment="1" applyProtection="1">
      <alignment vertical="center"/>
      <protection hidden="1"/>
    </xf>
    <xf numFmtId="2" fontId="24" fillId="0" borderId="2" xfId="0" applyNumberFormat="1" applyFont="1" applyBorder="1" applyAlignment="1" applyProtection="1">
      <alignment vertical="center"/>
      <protection hidden="1"/>
    </xf>
    <xf numFmtId="2" fontId="10" fillId="0" borderId="23" xfId="0" applyNumberFormat="1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2" fontId="17" fillId="0" borderId="23" xfId="0" applyNumberFormat="1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1" xfId="20"/>
    <cellStyle name="Normal_TR109" xfId="21"/>
    <cellStyle name="Normal_Z-CD-Dunai-c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35</xdr:row>
      <xdr:rowOff>0</xdr:rowOff>
    </xdr:from>
    <xdr:to>
      <xdr:col>10</xdr:col>
      <xdr:colOff>142875</xdr:colOff>
      <xdr:row>36</xdr:row>
      <xdr:rowOff>104775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2733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14</xdr:col>
      <xdr:colOff>47625</xdr:colOff>
      <xdr:row>93</xdr:row>
      <xdr:rowOff>38100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39719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35</xdr:row>
      <xdr:rowOff>0</xdr:rowOff>
    </xdr:from>
    <xdr:to>
      <xdr:col>10</xdr:col>
      <xdr:colOff>142875</xdr:colOff>
      <xdr:row>36</xdr:row>
      <xdr:rowOff>104775</xdr:rowOff>
    </xdr:to>
    <xdr:pic>
      <xdr:nvPicPr>
        <xdr:cNvPr id="1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27336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49"/>
  <sheetViews>
    <sheetView showGridLines="0" tabSelected="1" workbookViewId="0" topLeftCell="D15">
      <selection activeCell="G15" sqref="G1:J16384"/>
    </sheetView>
  </sheetViews>
  <sheetFormatPr defaultColWidth="9.00390625" defaultRowHeight="12.75" outlineLevelRow="1" outlineLevelCol="1"/>
  <cols>
    <col min="1" max="1" width="12.375" style="9" hidden="1" customWidth="1"/>
    <col min="2" max="2" width="9.25390625" style="9" hidden="1" customWidth="1"/>
    <col min="3" max="3" width="9.75390625" style="9" hidden="1" customWidth="1" outlineLevel="1"/>
    <col min="4" max="4" width="4.875" style="50" customWidth="1" collapsed="1"/>
    <col min="5" max="5" width="4.875" style="51" customWidth="1"/>
    <col min="6" max="6" width="6.75390625" style="51" customWidth="1"/>
    <col min="7" max="25" width="4.375" style="57" customWidth="1"/>
    <col min="26" max="29" width="7.00390625" style="9" customWidth="1"/>
    <col min="30" max="16384" width="9.125" style="9" customWidth="1"/>
  </cols>
  <sheetData>
    <row r="1" spans="1:25" s="4" customFormat="1" ht="15.75" hidden="1">
      <c r="A1" s="1" t="s">
        <v>0</v>
      </c>
      <c r="B1" s="2"/>
      <c r="C1" s="3" t="s">
        <v>1</v>
      </c>
      <c r="D1" s="30" t="s">
        <v>2</v>
      </c>
      <c r="E1" s="31" t="s">
        <v>3</v>
      </c>
      <c r="F1" s="31" t="s">
        <v>4</v>
      </c>
      <c r="G1" s="32"/>
      <c r="H1" s="32" t="s">
        <v>5</v>
      </c>
      <c r="I1" s="32" t="s">
        <v>6</v>
      </c>
      <c r="J1" s="32"/>
      <c r="K1" s="32"/>
      <c r="L1" s="33"/>
      <c r="M1" s="34" t="s">
        <v>7</v>
      </c>
      <c r="N1" s="34"/>
      <c r="O1" s="34"/>
      <c r="P1" s="34" t="s">
        <v>8</v>
      </c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75" hidden="1">
      <c r="A2" s="5">
        <v>0.75</v>
      </c>
      <c r="B2" s="6">
        <v>320</v>
      </c>
      <c r="C2" s="6">
        <v>21940</v>
      </c>
      <c r="D2" s="35">
        <f>30970*A2</f>
        <v>23227.5</v>
      </c>
      <c r="E2" s="35">
        <v>1670000</v>
      </c>
      <c r="F2" s="36">
        <v>1165000</v>
      </c>
      <c r="G2" s="37"/>
      <c r="H2" s="38">
        <f>(1+0.11*A2)*H6</f>
        <v>6.708024506957637</v>
      </c>
      <c r="I2" s="38">
        <v>26.008930058265076</v>
      </c>
      <c r="J2" s="39">
        <v>31.28386960581331</v>
      </c>
      <c r="K2" s="37"/>
      <c r="L2" s="31"/>
      <c r="M2" s="40">
        <v>0</v>
      </c>
      <c r="N2" s="40">
        <v>0.765</v>
      </c>
      <c r="O2" s="41"/>
      <c r="P2" s="40">
        <v>0</v>
      </c>
      <c r="Q2" s="40">
        <v>0.74</v>
      </c>
      <c r="R2" s="41"/>
      <c r="S2" s="41"/>
      <c r="T2" s="41"/>
      <c r="U2" s="41"/>
      <c r="V2" s="41"/>
      <c r="W2" s="41"/>
      <c r="X2" s="41"/>
      <c r="Y2" s="41"/>
    </row>
    <row r="3" spans="1:25" s="2" customFormat="1" ht="12.75" hidden="1">
      <c r="A3" s="5">
        <v>0.88</v>
      </c>
      <c r="B3" s="6">
        <v>320</v>
      </c>
      <c r="C3" s="5">
        <v>26870</v>
      </c>
      <c r="D3" s="35">
        <f>30970*A3</f>
        <v>27253.6</v>
      </c>
      <c r="E3" s="35">
        <v>1940000</v>
      </c>
      <c r="F3" s="36">
        <v>1555000</v>
      </c>
      <c r="G3" s="37"/>
      <c r="H3" s="38">
        <f>(1+0.11*A3)*H7</f>
        <v>9.370359300472883</v>
      </c>
      <c r="I3" s="38">
        <v>35.11975843362484</v>
      </c>
      <c r="J3" s="39">
        <v>42.10622288907609</v>
      </c>
      <c r="K3" s="37"/>
      <c r="L3" s="31"/>
      <c r="M3" s="40">
        <v>3.4</v>
      </c>
      <c r="N3" s="40">
        <v>0.765</v>
      </c>
      <c r="O3" s="41"/>
      <c r="P3" s="40">
        <v>3.5</v>
      </c>
      <c r="Q3" s="40">
        <v>0.74</v>
      </c>
      <c r="R3" s="41"/>
      <c r="S3" s="41"/>
      <c r="T3" s="41"/>
      <c r="U3" s="41"/>
      <c r="V3" s="41"/>
      <c r="W3" s="41"/>
      <c r="X3" s="41"/>
      <c r="Y3" s="41"/>
    </row>
    <row r="4" spans="1:25" s="2" customFormat="1" ht="12.75" hidden="1">
      <c r="A4" s="5">
        <v>1</v>
      </c>
      <c r="B4" s="6">
        <v>320</v>
      </c>
      <c r="C4" s="5">
        <v>38400</v>
      </c>
      <c r="D4" s="35">
        <f>30970*A4</f>
        <v>30970</v>
      </c>
      <c r="E4" s="35">
        <v>2414000</v>
      </c>
      <c r="F4" s="36">
        <v>1880000</v>
      </c>
      <c r="G4" s="37"/>
      <c r="H4" s="38">
        <f>(1+0.11*A4)*H8</f>
        <v>12.229355665126905</v>
      </c>
      <c r="I4" s="38">
        <v>44.53003726823805</v>
      </c>
      <c r="J4" s="39">
        <v>53.245245428972105</v>
      </c>
      <c r="K4" s="37"/>
      <c r="L4" s="31"/>
      <c r="M4" s="40">
        <v>4.65</v>
      </c>
      <c r="N4" s="40">
        <v>0.86</v>
      </c>
      <c r="O4" s="41"/>
      <c r="P4" s="40">
        <v>4.7</v>
      </c>
      <c r="Q4" s="40">
        <v>0.845</v>
      </c>
      <c r="R4" s="41"/>
      <c r="S4" s="41"/>
      <c r="T4" s="41"/>
      <c r="U4" s="41"/>
      <c r="V4" s="41"/>
      <c r="W4" s="41"/>
      <c r="X4" s="41"/>
      <c r="Y4" s="41"/>
    </row>
    <row r="5" spans="4:25" s="4" customFormat="1" ht="12.75" hidden="1">
      <c r="D5" s="42"/>
      <c r="E5" s="42"/>
      <c r="F5" s="42"/>
      <c r="G5" s="32"/>
      <c r="H5" s="32"/>
      <c r="I5" s="32"/>
      <c r="J5" s="32">
        <v>100</v>
      </c>
      <c r="K5" s="32"/>
      <c r="L5" s="42"/>
      <c r="M5" s="40">
        <v>6</v>
      </c>
      <c r="N5" s="40">
        <v>0.9</v>
      </c>
      <c r="O5" s="42"/>
      <c r="P5" s="40">
        <v>6</v>
      </c>
      <c r="Q5" s="40">
        <v>0.9</v>
      </c>
      <c r="R5" s="42"/>
      <c r="S5" s="42"/>
      <c r="T5" s="42"/>
      <c r="U5" s="42"/>
      <c r="V5" s="42"/>
      <c r="W5" s="42"/>
      <c r="X5" s="42"/>
      <c r="Y5" s="42"/>
    </row>
    <row r="6" spans="1:25" s="4" customFormat="1" ht="12.75" hidden="1">
      <c r="A6" s="2" t="s">
        <v>9</v>
      </c>
      <c r="B6" s="2">
        <f>B4/E9</f>
        <v>278.26086956521743</v>
      </c>
      <c r="C6" s="7"/>
      <c r="D6" s="42"/>
      <c r="E6" s="42"/>
      <c r="F6" s="42"/>
      <c r="G6" s="32"/>
      <c r="H6" s="43">
        <v>6.196789382870796</v>
      </c>
      <c r="I6" s="39">
        <v>27.450179478146854</v>
      </c>
      <c r="J6" s="38">
        <v>26.008930058265076</v>
      </c>
      <c r="K6" s="37">
        <v>27.90944415555581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4" customFormat="1" ht="16.5" customHeight="1" hidden="1">
      <c r="A7" s="2" t="s">
        <v>10</v>
      </c>
      <c r="B7" s="2">
        <v>210000</v>
      </c>
      <c r="C7" s="7"/>
      <c r="D7" s="42"/>
      <c r="E7" s="42"/>
      <c r="F7" s="44"/>
      <c r="G7" s="32"/>
      <c r="H7" s="38">
        <v>8.543361871328303</v>
      </c>
      <c r="I7" s="39">
        <v>37.02864056443976</v>
      </c>
      <c r="J7" s="38">
        <v>35.11975843362484</v>
      </c>
      <c r="K7" s="37">
        <v>37.636919828199915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4" customFormat="1" ht="12.75" hidden="1">
      <c r="A8" s="2"/>
      <c r="B8" s="2"/>
      <c r="C8" s="7"/>
      <c r="D8" s="42"/>
      <c r="E8" s="42"/>
      <c r="F8" s="42"/>
      <c r="G8" s="32"/>
      <c r="H8" s="45">
        <v>11.017437536150364</v>
      </c>
      <c r="I8" s="39">
        <v>46.911256729159675</v>
      </c>
      <c r="J8" s="38">
        <v>44.53003726823805</v>
      </c>
      <c r="K8" s="37">
        <v>47.67004974060788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5.75">
      <c r="A9" s="8"/>
      <c r="B9" s="8"/>
      <c r="C9" s="8"/>
      <c r="D9" s="46" t="s">
        <v>32</v>
      </c>
      <c r="E9" s="47">
        <v>1.15</v>
      </c>
      <c r="F9" s="48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2.75">
      <c r="A10" s="8"/>
      <c r="B10" s="8"/>
      <c r="C10" s="8"/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20.25">
      <c r="A11" s="8"/>
      <c r="B11" s="8">
        <v>150</v>
      </c>
      <c r="D11" s="52" t="str">
        <f>$A$1</f>
        <v>TR 110/333</v>
      </c>
      <c r="E11" s="53"/>
      <c r="F11" s="54"/>
      <c r="G11" s="55"/>
      <c r="H11" s="56" t="s">
        <v>11</v>
      </c>
      <c r="J11" s="50"/>
      <c r="K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2.75">
      <c r="A12" s="8"/>
      <c r="B12" s="8">
        <v>300</v>
      </c>
      <c r="G12" s="50"/>
      <c r="H12" s="50"/>
      <c r="I12" s="50"/>
      <c r="J12" s="50"/>
      <c r="K12" s="50"/>
      <c r="L12" s="50"/>
      <c r="M12" s="50"/>
      <c r="N12" s="58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12" ht="13.5">
      <c r="A13" s="8"/>
      <c r="B13" s="8"/>
      <c r="G13" s="50"/>
      <c r="J13" s="58"/>
      <c r="L13" s="59" t="s">
        <v>33</v>
      </c>
    </row>
    <row r="14" spans="1:25" s="11" customFormat="1" ht="15.75">
      <c r="A14" s="10" t="s">
        <v>12</v>
      </c>
      <c r="D14" s="60"/>
      <c r="E14" s="61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</row>
    <row r="15" spans="1:25" s="13" customFormat="1" ht="18" customHeight="1" thickBot="1">
      <c r="A15" s="12"/>
      <c r="B15" s="12" t="s">
        <v>13</v>
      </c>
      <c r="C15" s="12" t="s">
        <v>14</v>
      </c>
      <c r="D15" s="64" t="s">
        <v>15</v>
      </c>
      <c r="E15" s="65" t="s">
        <v>34</v>
      </c>
      <c r="F15" s="66" t="s">
        <v>16</v>
      </c>
      <c r="G15" s="67">
        <v>3</v>
      </c>
      <c r="H15" s="67">
        <f aca="true" t="shared" si="0" ref="H15:Y15">G15+0.25</f>
        <v>3.25</v>
      </c>
      <c r="I15" s="67">
        <f t="shared" si="0"/>
        <v>3.5</v>
      </c>
      <c r="J15" s="67">
        <f t="shared" si="0"/>
        <v>3.75</v>
      </c>
      <c r="K15" s="67">
        <f t="shared" si="0"/>
        <v>4</v>
      </c>
      <c r="L15" s="67">
        <f t="shared" si="0"/>
        <v>4.25</v>
      </c>
      <c r="M15" s="67">
        <f t="shared" si="0"/>
        <v>4.5</v>
      </c>
      <c r="N15" s="67">
        <f t="shared" si="0"/>
        <v>4.75</v>
      </c>
      <c r="O15" s="67">
        <f t="shared" si="0"/>
        <v>5</v>
      </c>
      <c r="P15" s="67">
        <f t="shared" si="0"/>
        <v>5.25</v>
      </c>
      <c r="Q15" s="67">
        <f t="shared" si="0"/>
        <v>5.5</v>
      </c>
      <c r="R15" s="67">
        <f t="shared" si="0"/>
        <v>5.75</v>
      </c>
      <c r="S15" s="67">
        <f t="shared" si="0"/>
        <v>6</v>
      </c>
      <c r="T15" s="67">
        <f t="shared" si="0"/>
        <v>6.25</v>
      </c>
      <c r="U15" s="67">
        <f t="shared" si="0"/>
        <v>6.5</v>
      </c>
      <c r="V15" s="67">
        <f t="shared" si="0"/>
        <v>6.75</v>
      </c>
      <c r="W15" s="67">
        <f t="shared" si="0"/>
        <v>7</v>
      </c>
      <c r="X15" s="67">
        <f t="shared" si="0"/>
        <v>7.25</v>
      </c>
      <c r="Y15" s="68">
        <f t="shared" si="0"/>
        <v>7.5</v>
      </c>
    </row>
    <row r="16" spans="1:25" ht="15" customHeight="1" hidden="1" outlineLevel="1">
      <c r="A16" s="14" t="s">
        <v>17</v>
      </c>
      <c r="B16" s="8"/>
      <c r="D16" s="69"/>
      <c r="E16" s="69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</row>
    <row r="17" spans="1:25" ht="15" customHeight="1" hidden="1" outlineLevel="1">
      <c r="A17" s="14"/>
      <c r="B17" s="8">
        <v>0.75</v>
      </c>
      <c r="D17" s="69"/>
      <c r="E17" s="69"/>
      <c r="F17" s="70" t="s">
        <v>18</v>
      </c>
      <c r="G17" s="71">
        <f aca="true" t="shared" si="1" ref="G17:Y17">8/G$15^2*$B19*$B$6/1000000</f>
        <v>5.426705314009663</v>
      </c>
      <c r="H17" s="71">
        <f t="shared" si="1"/>
        <v>4.62393825572421</v>
      </c>
      <c r="I17" s="71">
        <f t="shared" si="1"/>
        <v>3.986967169476486</v>
      </c>
      <c r="J17" s="71">
        <f t="shared" si="1"/>
        <v>3.473091400966184</v>
      </c>
      <c r="K17" s="71">
        <f t="shared" si="1"/>
        <v>3.052521739130435</v>
      </c>
      <c r="L17" s="71">
        <f t="shared" si="1"/>
        <v>2.703963893485783</v>
      </c>
      <c r="M17" s="71">
        <f t="shared" si="1"/>
        <v>2.411869028448739</v>
      </c>
      <c r="N17" s="71">
        <f t="shared" si="1"/>
        <v>2.1646691557268465</v>
      </c>
      <c r="O17" s="71">
        <f t="shared" si="1"/>
        <v>1.9536139130434784</v>
      </c>
      <c r="P17" s="71">
        <f t="shared" si="1"/>
        <v>1.7719854086562166</v>
      </c>
      <c r="Q17" s="71">
        <f t="shared" si="1"/>
        <v>1.6145569529284949</v>
      </c>
      <c r="R17" s="71">
        <f t="shared" si="1"/>
        <v>1.477212788690721</v>
      </c>
      <c r="S17" s="71">
        <f t="shared" si="1"/>
        <v>1.3566763285024157</v>
      </c>
      <c r="T17" s="71">
        <f t="shared" si="1"/>
        <v>1.2503129043478263</v>
      </c>
      <c r="U17" s="71">
        <f t="shared" si="1"/>
        <v>1.1559845639310524</v>
      </c>
      <c r="V17" s="71">
        <f t="shared" si="1"/>
        <v>1.0719417904216617</v>
      </c>
      <c r="W17" s="71">
        <f t="shared" si="1"/>
        <v>0.9967417923691215</v>
      </c>
      <c r="X17" s="71">
        <f t="shared" si="1"/>
        <v>0.9291861655379208</v>
      </c>
      <c r="Y17" s="72">
        <f t="shared" si="1"/>
        <v>0.868272850241546</v>
      </c>
    </row>
    <row r="18" spans="2:25" ht="15" customHeight="1" hidden="1" outlineLevel="1">
      <c r="B18" s="8"/>
      <c r="C18" s="9">
        <f>H2/E$9</f>
        <v>5.833064788658815</v>
      </c>
      <c r="D18" s="69"/>
      <c r="E18" s="69"/>
      <c r="F18" s="70" t="s">
        <v>19</v>
      </c>
      <c r="G18" s="71">
        <f aca="true" t="shared" si="2" ref="G18:Y18">2*$C18/G$15</f>
        <v>3.8887098591058766</v>
      </c>
      <c r="H18" s="71">
        <f t="shared" si="2"/>
        <v>3.5895783314823477</v>
      </c>
      <c r="I18" s="71">
        <f t="shared" si="2"/>
        <v>3.3331798792336085</v>
      </c>
      <c r="J18" s="71">
        <f t="shared" si="2"/>
        <v>3.1109678872847013</v>
      </c>
      <c r="K18" s="71">
        <f t="shared" si="2"/>
        <v>2.9165323943294075</v>
      </c>
      <c r="L18" s="71">
        <f t="shared" si="2"/>
        <v>2.744971665251207</v>
      </c>
      <c r="M18" s="71">
        <f t="shared" si="2"/>
        <v>2.5924732394039176</v>
      </c>
      <c r="N18" s="71">
        <f t="shared" si="2"/>
        <v>2.4560272794352906</v>
      </c>
      <c r="O18" s="71">
        <f t="shared" si="2"/>
        <v>2.333225915463526</v>
      </c>
      <c r="P18" s="71">
        <f t="shared" si="2"/>
        <v>2.222119919489072</v>
      </c>
      <c r="Q18" s="71">
        <f t="shared" si="2"/>
        <v>2.1211144686032055</v>
      </c>
      <c r="R18" s="71">
        <f t="shared" si="2"/>
        <v>2.0288921004030662</v>
      </c>
      <c r="S18" s="71">
        <f t="shared" si="2"/>
        <v>1.9443549295529383</v>
      </c>
      <c r="T18" s="71">
        <f t="shared" si="2"/>
        <v>1.8665807323708208</v>
      </c>
      <c r="U18" s="71">
        <f t="shared" si="2"/>
        <v>1.7947891657411739</v>
      </c>
      <c r="V18" s="71">
        <f t="shared" si="2"/>
        <v>1.7283154929359452</v>
      </c>
      <c r="W18" s="71">
        <f t="shared" si="2"/>
        <v>1.6665899396168042</v>
      </c>
      <c r="X18" s="71">
        <f t="shared" si="2"/>
        <v>1.6091213210093283</v>
      </c>
      <c r="Y18" s="72">
        <f t="shared" si="2"/>
        <v>1.5554839436423507</v>
      </c>
    </row>
    <row r="19" spans="1:30" ht="15" customHeight="1" collapsed="1">
      <c r="A19" s="15" t="s">
        <v>1</v>
      </c>
      <c r="B19" s="8">
        <f>C$2</f>
        <v>21940</v>
      </c>
      <c r="D19" s="122">
        <f>B17</f>
        <v>0.75</v>
      </c>
      <c r="E19" s="119">
        <v>8.84</v>
      </c>
      <c r="F19" s="73" t="s">
        <v>35</v>
      </c>
      <c r="G19" s="74">
        <f aca="true" t="shared" si="3" ref="G19:Y19">MIN(G17,G18)</f>
        <v>3.8887098591058766</v>
      </c>
      <c r="H19" s="74">
        <f t="shared" si="3"/>
        <v>3.5895783314823477</v>
      </c>
      <c r="I19" s="74">
        <f t="shared" si="3"/>
        <v>3.3331798792336085</v>
      </c>
      <c r="J19" s="74">
        <f t="shared" si="3"/>
        <v>3.1109678872847013</v>
      </c>
      <c r="K19" s="74">
        <f t="shared" si="3"/>
        <v>2.9165323943294075</v>
      </c>
      <c r="L19" s="74">
        <f t="shared" si="3"/>
        <v>2.703963893485783</v>
      </c>
      <c r="M19" s="74">
        <f t="shared" si="3"/>
        <v>2.411869028448739</v>
      </c>
      <c r="N19" s="74">
        <f t="shared" si="3"/>
        <v>2.1646691557268465</v>
      </c>
      <c r="O19" s="74">
        <f t="shared" si="3"/>
        <v>1.9536139130434784</v>
      </c>
      <c r="P19" s="74">
        <f t="shared" si="3"/>
        <v>1.7719854086562166</v>
      </c>
      <c r="Q19" s="74">
        <f t="shared" si="3"/>
        <v>1.6145569529284949</v>
      </c>
      <c r="R19" s="74">
        <f t="shared" si="3"/>
        <v>1.477212788690721</v>
      </c>
      <c r="S19" s="74">
        <f t="shared" si="3"/>
        <v>1.3566763285024157</v>
      </c>
      <c r="T19" s="74">
        <f t="shared" si="3"/>
        <v>1.2503129043478263</v>
      </c>
      <c r="U19" s="74">
        <f t="shared" si="3"/>
        <v>1.1559845639310524</v>
      </c>
      <c r="V19" s="74">
        <f t="shared" si="3"/>
        <v>1.0719417904216617</v>
      </c>
      <c r="W19" s="74">
        <f t="shared" si="3"/>
        <v>0.9967417923691215</v>
      </c>
      <c r="X19" s="74">
        <f t="shared" si="3"/>
        <v>0.9291861655379208</v>
      </c>
      <c r="Y19" s="75">
        <f t="shared" si="3"/>
        <v>0.868272850241546</v>
      </c>
      <c r="Z19" s="16"/>
      <c r="AA19" s="16"/>
      <c r="AB19" s="16"/>
      <c r="AC19" s="16"/>
      <c r="AD19" s="16"/>
    </row>
    <row r="20" spans="1:25" s="8" customFormat="1" ht="15" customHeight="1">
      <c r="A20" s="15" t="s">
        <v>2</v>
      </c>
      <c r="B20" s="9">
        <f>D$2</f>
        <v>23227.5</v>
      </c>
      <c r="D20" s="123"/>
      <c r="E20" s="120"/>
      <c r="F20" s="70" t="s">
        <v>36</v>
      </c>
      <c r="G20" s="71">
        <f aca="true" t="shared" si="4" ref="G20:Y20">384/5*$B$7*$B21/(G$15*1000)^3/$B$11</f>
        <v>6.650311111111111</v>
      </c>
      <c r="H20" s="71">
        <f t="shared" si="4"/>
        <v>5.230649795175239</v>
      </c>
      <c r="I20" s="71">
        <f t="shared" si="4"/>
        <v>4.187951020408163</v>
      </c>
      <c r="J20" s="71">
        <f t="shared" si="4"/>
        <v>3.404959288888889</v>
      </c>
      <c r="K20" s="71">
        <f t="shared" si="4"/>
        <v>2.8055999999999996</v>
      </c>
      <c r="L20" s="71">
        <f t="shared" si="4"/>
        <v>2.339046936698555</v>
      </c>
      <c r="M20" s="71">
        <f t="shared" si="4"/>
        <v>1.9704625514403293</v>
      </c>
      <c r="N20" s="71">
        <f t="shared" si="4"/>
        <v>1.6754246391602274</v>
      </c>
      <c r="O20" s="71">
        <f t="shared" si="4"/>
        <v>1.4364672</v>
      </c>
      <c r="P20" s="71">
        <f t="shared" si="4"/>
        <v>1.2408743764172336</v>
      </c>
      <c r="Q20" s="71">
        <f t="shared" si="4"/>
        <v>1.079239068369647</v>
      </c>
      <c r="R20" s="71">
        <f t="shared" si="4"/>
        <v>0.9445005013561272</v>
      </c>
      <c r="S20" s="71">
        <f t="shared" si="4"/>
        <v>0.8312888888888889</v>
      </c>
      <c r="T20" s="71">
        <f t="shared" si="4"/>
        <v>0.7354712064000001</v>
      </c>
      <c r="U20" s="71">
        <f t="shared" si="4"/>
        <v>0.6538312243969049</v>
      </c>
      <c r="V20" s="71">
        <f t="shared" si="4"/>
        <v>0.5838407559823198</v>
      </c>
      <c r="W20" s="71">
        <f t="shared" si="4"/>
        <v>0.5234938775510204</v>
      </c>
      <c r="X20" s="71">
        <f t="shared" si="4"/>
        <v>0.4711852720488745</v>
      </c>
      <c r="Y20" s="72">
        <f t="shared" si="4"/>
        <v>0.42561991111111114</v>
      </c>
    </row>
    <row r="21" spans="1:25" s="11" customFormat="1" ht="15" customHeight="1">
      <c r="A21" s="8" t="s">
        <v>3</v>
      </c>
      <c r="B21" s="8">
        <f>E$2</f>
        <v>1670000</v>
      </c>
      <c r="D21" s="124"/>
      <c r="E21" s="121"/>
      <c r="F21" s="76" t="s">
        <v>37</v>
      </c>
      <c r="G21" s="77">
        <f aca="true" t="shared" si="5" ref="G21:Y21">384/5*$B$7*$B21/(G$15*1000)^3/$B$12</f>
        <v>3.3251555555555554</v>
      </c>
      <c r="H21" s="77">
        <f t="shared" si="5"/>
        <v>2.6153248975876195</v>
      </c>
      <c r="I21" s="77">
        <f t="shared" si="5"/>
        <v>2.0939755102040816</v>
      </c>
      <c r="J21" s="77">
        <f t="shared" si="5"/>
        <v>1.7024796444444446</v>
      </c>
      <c r="K21" s="77">
        <f t="shared" si="5"/>
        <v>1.4027999999999998</v>
      </c>
      <c r="L21" s="77">
        <f t="shared" si="5"/>
        <v>1.1695234683492775</v>
      </c>
      <c r="M21" s="77">
        <f t="shared" si="5"/>
        <v>0.9852312757201647</v>
      </c>
      <c r="N21" s="77">
        <f t="shared" si="5"/>
        <v>0.8377123195801137</v>
      </c>
      <c r="O21" s="77">
        <f t="shared" si="5"/>
        <v>0.7182336</v>
      </c>
      <c r="P21" s="77">
        <f t="shared" si="5"/>
        <v>0.6204371882086168</v>
      </c>
      <c r="Q21" s="77">
        <f t="shared" si="5"/>
        <v>0.5396195341848234</v>
      </c>
      <c r="R21" s="77">
        <f t="shared" si="5"/>
        <v>0.4722502506780636</v>
      </c>
      <c r="S21" s="77">
        <f t="shared" si="5"/>
        <v>0.4156444444444444</v>
      </c>
      <c r="T21" s="77">
        <f t="shared" si="5"/>
        <v>0.36773560320000004</v>
      </c>
      <c r="U21" s="77">
        <f t="shared" si="5"/>
        <v>0.32691561219845244</v>
      </c>
      <c r="V21" s="77">
        <f t="shared" si="5"/>
        <v>0.2919203779911599</v>
      </c>
      <c r="W21" s="77">
        <f t="shared" si="5"/>
        <v>0.2617469387755102</v>
      </c>
      <c r="X21" s="77">
        <f t="shared" si="5"/>
        <v>0.23559263602443725</v>
      </c>
      <c r="Y21" s="78">
        <f t="shared" si="5"/>
        <v>0.21280995555555557</v>
      </c>
    </row>
    <row r="22" spans="2:25" ht="15" customHeight="1" hidden="1" outlineLevel="1">
      <c r="B22" s="8"/>
      <c r="D22" s="79"/>
      <c r="E22" s="79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</row>
    <row r="23" spans="1:25" ht="15" customHeight="1" hidden="1" outlineLevel="1">
      <c r="A23" s="14"/>
      <c r="B23" s="8">
        <v>0.88</v>
      </c>
      <c r="D23" s="79"/>
      <c r="E23" s="79"/>
      <c r="F23" s="70" t="s">
        <v>18</v>
      </c>
      <c r="G23" s="71">
        <f aca="true" t="shared" si="6" ref="G23:Y23">8/G$15^2*$B25*$B$6/1000000</f>
        <v>6.646106280193236</v>
      </c>
      <c r="H23" s="71">
        <f t="shared" si="6"/>
        <v>5.662954463596605</v>
      </c>
      <c r="I23" s="71">
        <f t="shared" si="6"/>
        <v>4.882853593611357</v>
      </c>
      <c r="J23" s="71">
        <f t="shared" si="6"/>
        <v>4.2535080193236725</v>
      </c>
      <c r="K23" s="71">
        <f t="shared" si="6"/>
        <v>3.7384347826086963</v>
      </c>
      <c r="L23" s="71">
        <f t="shared" si="6"/>
        <v>3.3115546863246585</v>
      </c>
      <c r="M23" s="71">
        <f t="shared" si="6"/>
        <v>2.9538250134192165</v>
      </c>
      <c r="N23" s="71">
        <f t="shared" si="6"/>
        <v>2.6510784053956407</v>
      </c>
      <c r="O23" s="71">
        <f t="shared" si="6"/>
        <v>2.3925982608695655</v>
      </c>
      <c r="P23" s="71">
        <f t="shared" si="6"/>
        <v>2.1701571527161594</v>
      </c>
      <c r="Q23" s="71">
        <f t="shared" si="6"/>
        <v>1.977353934602947</v>
      </c>
      <c r="R23" s="71">
        <f t="shared" si="6"/>
        <v>1.8091480233418267</v>
      </c>
      <c r="S23" s="71">
        <f t="shared" si="6"/>
        <v>1.661526570048309</v>
      </c>
      <c r="T23" s="71">
        <f t="shared" si="6"/>
        <v>1.5312628869565224</v>
      </c>
      <c r="U23" s="71">
        <f t="shared" si="6"/>
        <v>1.4157386158991512</v>
      </c>
      <c r="V23" s="71">
        <f t="shared" si="6"/>
        <v>1.3128111170752075</v>
      </c>
      <c r="W23" s="71">
        <f t="shared" si="6"/>
        <v>1.2207133984028393</v>
      </c>
      <c r="X23" s="71">
        <f t="shared" si="6"/>
        <v>1.1379777697358218</v>
      </c>
      <c r="Y23" s="72">
        <f t="shared" si="6"/>
        <v>1.0633770048309181</v>
      </c>
    </row>
    <row r="24" spans="2:25" ht="15" customHeight="1" hidden="1" outlineLevel="1">
      <c r="B24" s="8"/>
      <c r="C24" s="9">
        <f>H3/E$9</f>
        <v>8.148138522150333</v>
      </c>
      <c r="D24" s="79"/>
      <c r="E24" s="79"/>
      <c r="F24" s="70" t="s">
        <v>19</v>
      </c>
      <c r="G24" s="71">
        <f aca="true" t="shared" si="7" ref="G24:Y24">2*$C24/G$15</f>
        <v>5.432092348100222</v>
      </c>
      <c r="H24" s="71">
        <f t="shared" si="7"/>
        <v>5.014239090554051</v>
      </c>
      <c r="I24" s="71">
        <f t="shared" si="7"/>
        <v>4.656079155514476</v>
      </c>
      <c r="J24" s="71">
        <f t="shared" si="7"/>
        <v>4.345673878480178</v>
      </c>
      <c r="K24" s="71">
        <f t="shared" si="7"/>
        <v>4.0740692610751665</v>
      </c>
      <c r="L24" s="71">
        <f t="shared" si="7"/>
        <v>3.834418128070745</v>
      </c>
      <c r="M24" s="71">
        <f t="shared" si="7"/>
        <v>3.6213948987334814</v>
      </c>
      <c r="N24" s="71">
        <f t="shared" si="7"/>
        <v>3.4307951672211927</v>
      </c>
      <c r="O24" s="71">
        <f t="shared" si="7"/>
        <v>3.2592554088601333</v>
      </c>
      <c r="P24" s="71">
        <f t="shared" si="7"/>
        <v>3.104052770342984</v>
      </c>
      <c r="Q24" s="71">
        <f t="shared" si="7"/>
        <v>2.962959462600121</v>
      </c>
      <c r="R24" s="71">
        <f t="shared" si="7"/>
        <v>2.834135138139246</v>
      </c>
      <c r="S24" s="71">
        <f t="shared" si="7"/>
        <v>2.716046174050111</v>
      </c>
      <c r="T24" s="71">
        <f t="shared" si="7"/>
        <v>2.6074043270881067</v>
      </c>
      <c r="U24" s="71">
        <f t="shared" si="7"/>
        <v>2.5071195452770256</v>
      </c>
      <c r="V24" s="71">
        <f t="shared" si="7"/>
        <v>2.414263265822321</v>
      </c>
      <c r="W24" s="71">
        <f t="shared" si="7"/>
        <v>2.328039577757238</v>
      </c>
      <c r="X24" s="71">
        <f t="shared" si="7"/>
        <v>2.247762350938023</v>
      </c>
      <c r="Y24" s="72">
        <f t="shared" si="7"/>
        <v>2.172836939240089</v>
      </c>
    </row>
    <row r="25" spans="1:136" ht="15" customHeight="1" collapsed="1">
      <c r="A25" s="15" t="s">
        <v>1</v>
      </c>
      <c r="B25" s="8">
        <f>C$3</f>
        <v>26870</v>
      </c>
      <c r="D25" s="122">
        <f>B23</f>
        <v>0.88</v>
      </c>
      <c r="E25" s="119">
        <v>10.36</v>
      </c>
      <c r="F25" s="73" t="s">
        <v>35</v>
      </c>
      <c r="G25" s="74">
        <f aca="true" t="shared" si="8" ref="G25:Y25">MIN(G23,G24)</f>
        <v>5.432092348100222</v>
      </c>
      <c r="H25" s="74">
        <f t="shared" si="8"/>
        <v>5.014239090554051</v>
      </c>
      <c r="I25" s="74">
        <f t="shared" si="8"/>
        <v>4.656079155514476</v>
      </c>
      <c r="J25" s="74">
        <f t="shared" si="8"/>
        <v>4.2535080193236725</v>
      </c>
      <c r="K25" s="74">
        <f t="shared" si="8"/>
        <v>3.7384347826086963</v>
      </c>
      <c r="L25" s="74">
        <f t="shared" si="8"/>
        <v>3.3115546863246585</v>
      </c>
      <c r="M25" s="74">
        <f t="shared" si="8"/>
        <v>2.9538250134192165</v>
      </c>
      <c r="N25" s="74">
        <f t="shared" si="8"/>
        <v>2.6510784053956407</v>
      </c>
      <c r="O25" s="74">
        <f t="shared" si="8"/>
        <v>2.3925982608695655</v>
      </c>
      <c r="P25" s="74">
        <f t="shared" si="8"/>
        <v>2.1701571527161594</v>
      </c>
      <c r="Q25" s="74">
        <f t="shared" si="8"/>
        <v>1.977353934602947</v>
      </c>
      <c r="R25" s="74">
        <f t="shared" si="8"/>
        <v>1.8091480233418267</v>
      </c>
      <c r="S25" s="74">
        <f t="shared" si="8"/>
        <v>1.661526570048309</v>
      </c>
      <c r="T25" s="74">
        <f t="shared" si="8"/>
        <v>1.5312628869565224</v>
      </c>
      <c r="U25" s="74">
        <f t="shared" si="8"/>
        <v>1.4157386158991512</v>
      </c>
      <c r="V25" s="74">
        <f t="shared" si="8"/>
        <v>1.3128111170752075</v>
      </c>
      <c r="W25" s="74">
        <f t="shared" si="8"/>
        <v>1.2207133984028393</v>
      </c>
      <c r="X25" s="74">
        <f t="shared" si="8"/>
        <v>1.1379777697358218</v>
      </c>
      <c r="Y25" s="75">
        <f t="shared" si="8"/>
        <v>1.0633770048309181</v>
      </c>
      <c r="Z25" s="16"/>
      <c r="AA25" s="16"/>
      <c r="AB25" s="16"/>
      <c r="AC25" s="16"/>
      <c r="AD25" s="1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25" s="8" customFormat="1" ht="15" customHeight="1">
      <c r="A26" s="15" t="s">
        <v>2</v>
      </c>
      <c r="B26" s="9">
        <f>D$3</f>
        <v>27253.6</v>
      </c>
      <c r="D26" s="123"/>
      <c r="E26" s="120"/>
      <c r="F26" s="70" t="s">
        <v>36</v>
      </c>
      <c r="G26" s="71">
        <f aca="true" t="shared" si="9" ref="G26:Y26">384/5*$B$7*$B27/(G$15*1000)^3/$B$11</f>
        <v>7.7255111111111106</v>
      </c>
      <c r="H26" s="71">
        <f t="shared" si="9"/>
        <v>6.0763237141556665</v>
      </c>
      <c r="I26" s="71">
        <f t="shared" si="9"/>
        <v>4.865044897959184</v>
      </c>
      <c r="J26" s="71">
        <f t="shared" si="9"/>
        <v>3.9554616888888887</v>
      </c>
      <c r="K26" s="71">
        <f t="shared" si="9"/>
        <v>3.2592</v>
      </c>
      <c r="L26" s="71">
        <f t="shared" si="9"/>
        <v>2.7172162019132915</v>
      </c>
      <c r="M26" s="71">
        <f t="shared" si="9"/>
        <v>2.289040329218107</v>
      </c>
      <c r="N26" s="71">
        <f t="shared" si="9"/>
        <v>1.9463016766292462</v>
      </c>
      <c r="O26" s="71">
        <f t="shared" si="9"/>
        <v>1.6687104</v>
      </c>
      <c r="P26" s="71">
        <f t="shared" si="9"/>
        <v>1.4414947845804988</v>
      </c>
      <c r="Q26" s="71">
        <f t="shared" si="9"/>
        <v>1.2537268219383921</v>
      </c>
      <c r="R26" s="71">
        <f t="shared" si="9"/>
        <v>1.0972041752280761</v>
      </c>
      <c r="S26" s="71">
        <f t="shared" si="9"/>
        <v>0.9656888888888888</v>
      </c>
      <c r="T26" s="71">
        <f t="shared" si="9"/>
        <v>0.8543797248</v>
      </c>
      <c r="U26" s="71">
        <f t="shared" si="9"/>
        <v>0.7595404642694583</v>
      </c>
      <c r="V26" s="71">
        <f t="shared" si="9"/>
        <v>0.6782341716201798</v>
      </c>
      <c r="W26" s="71">
        <f t="shared" si="9"/>
        <v>0.608130612244898</v>
      </c>
      <c r="X26" s="71">
        <f t="shared" si="9"/>
        <v>0.5473649268112674</v>
      </c>
      <c r="Y26" s="72">
        <f t="shared" si="9"/>
        <v>0.4944327111111111</v>
      </c>
    </row>
    <row r="27" spans="1:25" s="11" customFormat="1" ht="15" customHeight="1">
      <c r="A27" s="8" t="s">
        <v>3</v>
      </c>
      <c r="B27" s="17">
        <f>E$3</f>
        <v>1940000</v>
      </c>
      <c r="D27" s="124"/>
      <c r="E27" s="121"/>
      <c r="F27" s="76" t="s">
        <v>37</v>
      </c>
      <c r="G27" s="77">
        <f aca="true" t="shared" si="10" ref="G27:Y27">384/5*$B$7*$B27/(G$15*1000)^3/$B$12</f>
        <v>3.8627555555555553</v>
      </c>
      <c r="H27" s="77">
        <f t="shared" si="10"/>
        <v>3.0381618570778333</v>
      </c>
      <c r="I27" s="77">
        <f t="shared" si="10"/>
        <v>2.432522448979592</v>
      </c>
      <c r="J27" s="77">
        <f t="shared" si="10"/>
        <v>1.9777308444444444</v>
      </c>
      <c r="K27" s="77">
        <f t="shared" si="10"/>
        <v>1.6296</v>
      </c>
      <c r="L27" s="77">
        <f t="shared" si="10"/>
        <v>1.3586081009566457</v>
      </c>
      <c r="M27" s="77">
        <f t="shared" si="10"/>
        <v>1.1445201646090535</v>
      </c>
      <c r="N27" s="77">
        <f t="shared" si="10"/>
        <v>0.9731508383146231</v>
      </c>
      <c r="O27" s="77">
        <f t="shared" si="10"/>
        <v>0.8343552</v>
      </c>
      <c r="P27" s="77">
        <f t="shared" si="10"/>
        <v>0.7207473922902494</v>
      </c>
      <c r="Q27" s="77">
        <f t="shared" si="10"/>
        <v>0.6268634109691961</v>
      </c>
      <c r="R27" s="77">
        <f t="shared" si="10"/>
        <v>0.5486020876140381</v>
      </c>
      <c r="S27" s="77">
        <f t="shared" si="10"/>
        <v>0.4828444444444444</v>
      </c>
      <c r="T27" s="77">
        <f t="shared" si="10"/>
        <v>0.4271898624</v>
      </c>
      <c r="U27" s="77">
        <f t="shared" si="10"/>
        <v>0.37977023213472916</v>
      </c>
      <c r="V27" s="77">
        <f t="shared" si="10"/>
        <v>0.3391170858100899</v>
      </c>
      <c r="W27" s="77">
        <f t="shared" si="10"/>
        <v>0.304065306122449</v>
      </c>
      <c r="X27" s="77">
        <f t="shared" si="10"/>
        <v>0.2736824634056337</v>
      </c>
      <c r="Y27" s="78">
        <f t="shared" si="10"/>
        <v>0.24721635555555554</v>
      </c>
    </row>
    <row r="28" spans="2:25" ht="15" customHeight="1" hidden="1" outlineLevel="1">
      <c r="B28" s="8"/>
      <c r="D28" s="79"/>
      <c r="E28" s="79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</row>
    <row r="29" spans="1:25" ht="15" customHeight="1" hidden="1" outlineLevel="1">
      <c r="A29" s="14"/>
      <c r="B29" s="8">
        <v>1</v>
      </c>
      <c r="D29" s="79"/>
      <c r="E29" s="79"/>
      <c r="F29" s="70" t="s">
        <v>18</v>
      </c>
      <c r="G29" s="71">
        <f aca="true" t="shared" si="11" ref="G29:Y29">8/G$15^2*$B31*$B$6/1000000</f>
        <v>9.497971014492753</v>
      </c>
      <c r="H29" s="71">
        <f t="shared" si="11"/>
        <v>8.092945716490869</v>
      </c>
      <c r="I29" s="71">
        <f t="shared" si="11"/>
        <v>6.978101153504881</v>
      </c>
      <c r="J29" s="71">
        <f t="shared" si="11"/>
        <v>6.078701449275363</v>
      </c>
      <c r="K29" s="71">
        <f t="shared" si="11"/>
        <v>5.342608695652174</v>
      </c>
      <c r="L29" s="71">
        <f t="shared" si="11"/>
        <v>4.732553031442758</v>
      </c>
      <c r="M29" s="71">
        <f t="shared" si="11"/>
        <v>4.221320450885669</v>
      </c>
      <c r="N29" s="71">
        <f t="shared" si="11"/>
        <v>3.7886643381910154</v>
      </c>
      <c r="O29" s="71">
        <f t="shared" si="11"/>
        <v>3.4192695652173914</v>
      </c>
      <c r="P29" s="71">
        <f t="shared" si="11"/>
        <v>3.101378290446614</v>
      </c>
      <c r="Q29" s="71">
        <f t="shared" si="11"/>
        <v>2.825842615882142</v>
      </c>
      <c r="R29" s="71">
        <f t="shared" si="11"/>
        <v>2.5854590285197667</v>
      </c>
      <c r="S29" s="71">
        <f t="shared" si="11"/>
        <v>2.3744927536231883</v>
      </c>
      <c r="T29" s="71">
        <f t="shared" si="11"/>
        <v>2.188332521739131</v>
      </c>
      <c r="U29" s="71">
        <f t="shared" si="11"/>
        <v>2.023236429122717</v>
      </c>
      <c r="V29" s="71">
        <f t="shared" si="11"/>
        <v>1.8761424226158527</v>
      </c>
      <c r="W29" s="71">
        <f t="shared" si="11"/>
        <v>1.7445252883762203</v>
      </c>
      <c r="X29" s="71">
        <f t="shared" si="11"/>
        <v>1.6262875458822315</v>
      </c>
      <c r="Y29" s="72">
        <f t="shared" si="11"/>
        <v>1.5196753623188408</v>
      </c>
    </row>
    <row r="30" spans="2:25" ht="15" customHeight="1" hidden="1" outlineLevel="1">
      <c r="B30" s="8"/>
      <c r="C30" s="9">
        <f>H4/E$9</f>
        <v>10.634222317501656</v>
      </c>
      <c r="D30" s="79"/>
      <c r="E30" s="79"/>
      <c r="F30" s="70" t="s">
        <v>19</v>
      </c>
      <c r="G30" s="71">
        <f aca="true" t="shared" si="12" ref="G30:Y30">2*$C30/G$15</f>
        <v>7.089481545001104</v>
      </c>
      <c r="H30" s="71">
        <f t="shared" si="12"/>
        <v>6.54413681077025</v>
      </c>
      <c r="I30" s="71">
        <f t="shared" si="12"/>
        <v>6.076698467143804</v>
      </c>
      <c r="J30" s="71">
        <f t="shared" si="12"/>
        <v>5.671585236000883</v>
      </c>
      <c r="K30" s="71">
        <f t="shared" si="12"/>
        <v>5.317111158750828</v>
      </c>
      <c r="L30" s="71">
        <f t="shared" si="12"/>
        <v>5.004339914118426</v>
      </c>
      <c r="M30" s="71">
        <f t="shared" si="12"/>
        <v>4.726321030000737</v>
      </c>
      <c r="N30" s="71">
        <f t="shared" si="12"/>
        <v>4.4775672915796445</v>
      </c>
      <c r="O30" s="71">
        <f t="shared" si="12"/>
        <v>4.253688927000662</v>
      </c>
      <c r="P30" s="71">
        <f t="shared" si="12"/>
        <v>4.051132311429202</v>
      </c>
      <c r="Q30" s="71">
        <f t="shared" si="12"/>
        <v>3.8669899336369657</v>
      </c>
      <c r="R30" s="71">
        <f t="shared" si="12"/>
        <v>3.6988599365223154</v>
      </c>
      <c r="S30" s="71">
        <f t="shared" si="12"/>
        <v>3.544740772500552</v>
      </c>
      <c r="T30" s="71">
        <f t="shared" si="12"/>
        <v>3.4029511416005302</v>
      </c>
      <c r="U30" s="71">
        <f t="shared" si="12"/>
        <v>3.272068405385125</v>
      </c>
      <c r="V30" s="71">
        <f t="shared" si="12"/>
        <v>3.1508806866671573</v>
      </c>
      <c r="W30" s="71">
        <f t="shared" si="12"/>
        <v>3.038349233571902</v>
      </c>
      <c r="X30" s="71">
        <f t="shared" si="12"/>
        <v>2.9335785703452846</v>
      </c>
      <c r="Y30" s="72">
        <f t="shared" si="12"/>
        <v>2.8357926180004416</v>
      </c>
    </row>
    <row r="31" spans="1:27" ht="15" customHeight="1" collapsed="1">
      <c r="A31" s="15" t="s">
        <v>1</v>
      </c>
      <c r="B31" s="8">
        <f>C$4</f>
        <v>38400</v>
      </c>
      <c r="D31" s="122">
        <f>B29</f>
        <v>1</v>
      </c>
      <c r="E31" s="119">
        <v>11.78</v>
      </c>
      <c r="F31" s="73" t="s">
        <v>35</v>
      </c>
      <c r="G31" s="74">
        <f aca="true" t="shared" si="13" ref="G31:Y31">MIN(G29,G30)</f>
        <v>7.089481545001104</v>
      </c>
      <c r="H31" s="74">
        <f t="shared" si="13"/>
        <v>6.54413681077025</v>
      </c>
      <c r="I31" s="74">
        <f t="shared" si="13"/>
        <v>6.076698467143804</v>
      </c>
      <c r="J31" s="74">
        <f t="shared" si="13"/>
        <v>5.671585236000883</v>
      </c>
      <c r="K31" s="74">
        <f t="shared" si="13"/>
        <v>5.317111158750828</v>
      </c>
      <c r="L31" s="74">
        <f t="shared" si="13"/>
        <v>4.732553031442758</v>
      </c>
      <c r="M31" s="74">
        <f t="shared" si="13"/>
        <v>4.221320450885669</v>
      </c>
      <c r="N31" s="74">
        <f t="shared" si="13"/>
        <v>3.7886643381910154</v>
      </c>
      <c r="O31" s="74">
        <f t="shared" si="13"/>
        <v>3.4192695652173914</v>
      </c>
      <c r="P31" s="74">
        <f t="shared" si="13"/>
        <v>3.101378290446614</v>
      </c>
      <c r="Q31" s="74">
        <f t="shared" si="13"/>
        <v>2.825842615882142</v>
      </c>
      <c r="R31" s="74">
        <f t="shared" si="13"/>
        <v>2.5854590285197667</v>
      </c>
      <c r="S31" s="74">
        <f t="shared" si="13"/>
        <v>2.3744927536231883</v>
      </c>
      <c r="T31" s="74">
        <f t="shared" si="13"/>
        <v>2.188332521739131</v>
      </c>
      <c r="U31" s="74">
        <f t="shared" si="13"/>
        <v>2.023236429122717</v>
      </c>
      <c r="V31" s="74">
        <f t="shared" si="13"/>
        <v>1.8761424226158527</v>
      </c>
      <c r="W31" s="74">
        <f t="shared" si="13"/>
        <v>1.7445252883762203</v>
      </c>
      <c r="X31" s="74">
        <f t="shared" si="13"/>
        <v>1.6262875458822315</v>
      </c>
      <c r="Y31" s="75">
        <f t="shared" si="13"/>
        <v>1.5196753623188408</v>
      </c>
      <c r="Z31" s="16"/>
      <c r="AA31" s="16"/>
    </row>
    <row r="32" spans="1:25" s="8" customFormat="1" ht="15" customHeight="1">
      <c r="A32" s="15" t="s">
        <v>2</v>
      </c>
      <c r="B32" s="9">
        <f>D$4</f>
        <v>30970</v>
      </c>
      <c r="D32" s="123"/>
      <c r="E32" s="120"/>
      <c r="F32" s="70" t="s">
        <v>36</v>
      </c>
      <c r="G32" s="71">
        <f aca="true" t="shared" si="14" ref="G32:Y32">384/5*$B$7*$B33/(G$15*1000)^3/$B$11</f>
        <v>9.613084444444445</v>
      </c>
      <c r="H32" s="71">
        <f t="shared" si="14"/>
        <v>7.560951260810196</v>
      </c>
      <c r="I32" s="71">
        <f t="shared" si="14"/>
        <v>6.053720816326531</v>
      </c>
      <c r="J32" s="71">
        <f t="shared" si="14"/>
        <v>4.921899235555556</v>
      </c>
      <c r="K32" s="71">
        <f t="shared" si="14"/>
        <v>4.05552</v>
      </c>
      <c r="L32" s="71">
        <f t="shared" si="14"/>
        <v>3.3811133564013844</v>
      </c>
      <c r="M32" s="71">
        <f t="shared" si="14"/>
        <v>2.848321316872428</v>
      </c>
      <c r="N32" s="71">
        <f t="shared" si="14"/>
        <v>2.4218413646304127</v>
      </c>
      <c r="O32" s="71">
        <f t="shared" si="14"/>
        <v>2.07642624</v>
      </c>
      <c r="P32" s="71">
        <f t="shared" si="14"/>
        <v>1.7936950566893424</v>
      </c>
      <c r="Q32" s="71">
        <f t="shared" si="14"/>
        <v>1.5600497670924118</v>
      </c>
      <c r="R32" s="71">
        <f t="shared" si="14"/>
        <v>1.3652839582477192</v>
      </c>
      <c r="S32" s="71">
        <f t="shared" si="14"/>
        <v>1.2016355555555556</v>
      </c>
      <c r="T32" s="71">
        <f t="shared" si="14"/>
        <v>1.06313023488</v>
      </c>
      <c r="U32" s="71">
        <f t="shared" si="14"/>
        <v>0.9451189076012745</v>
      </c>
      <c r="V32" s="71">
        <f t="shared" si="14"/>
        <v>0.8439470568510898</v>
      </c>
      <c r="W32" s="71">
        <f t="shared" si="14"/>
        <v>0.7567151020408164</v>
      </c>
      <c r="X32" s="71">
        <f t="shared" si="14"/>
        <v>0.6811025429496904</v>
      </c>
      <c r="Y32" s="72">
        <f t="shared" si="14"/>
        <v>0.6152374044444445</v>
      </c>
    </row>
    <row r="33" spans="1:25" s="11" customFormat="1" ht="15" customHeight="1">
      <c r="A33" s="8" t="s">
        <v>3</v>
      </c>
      <c r="B33" s="17">
        <f>E$4</f>
        <v>2414000</v>
      </c>
      <c r="D33" s="124"/>
      <c r="E33" s="121"/>
      <c r="F33" s="76" t="s">
        <v>37</v>
      </c>
      <c r="G33" s="77">
        <f aca="true" t="shared" si="15" ref="G33:Y33">384/5*$B$7*$B33/(G$15*1000)^3/$B$12</f>
        <v>4.806542222222222</v>
      </c>
      <c r="H33" s="77">
        <f t="shared" si="15"/>
        <v>3.780475630405098</v>
      </c>
      <c r="I33" s="77">
        <f t="shared" si="15"/>
        <v>3.0268604081632655</v>
      </c>
      <c r="J33" s="77">
        <f t="shared" si="15"/>
        <v>2.460949617777778</v>
      </c>
      <c r="K33" s="77">
        <f t="shared" si="15"/>
        <v>2.02776</v>
      </c>
      <c r="L33" s="77">
        <f t="shared" si="15"/>
        <v>1.6905566782006922</v>
      </c>
      <c r="M33" s="77">
        <f t="shared" si="15"/>
        <v>1.424160658436214</v>
      </c>
      <c r="N33" s="77">
        <f t="shared" si="15"/>
        <v>1.2109206823152063</v>
      </c>
      <c r="O33" s="77">
        <f t="shared" si="15"/>
        <v>1.03821312</v>
      </c>
      <c r="P33" s="77">
        <f t="shared" si="15"/>
        <v>0.8968475283446712</v>
      </c>
      <c r="Q33" s="77">
        <f t="shared" si="15"/>
        <v>0.7800248835462059</v>
      </c>
      <c r="R33" s="77">
        <f t="shared" si="15"/>
        <v>0.6826419791238596</v>
      </c>
      <c r="S33" s="77">
        <f t="shared" si="15"/>
        <v>0.6008177777777778</v>
      </c>
      <c r="T33" s="77">
        <f t="shared" si="15"/>
        <v>0.53156511744</v>
      </c>
      <c r="U33" s="77">
        <f t="shared" si="15"/>
        <v>0.47255945380063724</v>
      </c>
      <c r="V33" s="77">
        <f t="shared" si="15"/>
        <v>0.4219735284255449</v>
      </c>
      <c r="W33" s="77">
        <f t="shared" si="15"/>
        <v>0.3783575510204082</v>
      </c>
      <c r="X33" s="77">
        <f t="shared" si="15"/>
        <v>0.3405512714748452</v>
      </c>
      <c r="Y33" s="78">
        <f t="shared" si="15"/>
        <v>0.30761870222222226</v>
      </c>
    </row>
    <row r="34" spans="1:25" s="8" customFormat="1" ht="11.25" customHeight="1">
      <c r="A34" s="18"/>
      <c r="D34" s="80"/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s="8" customFormat="1" ht="11.25" customHeight="1" hidden="1" outlineLevel="1">
      <c r="A35" s="18"/>
      <c r="D35" s="80"/>
      <c r="E35" s="80"/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s="8" customFormat="1" ht="11.25" customHeight="1" collapsed="1">
      <c r="A36" s="10"/>
      <c r="D36" s="80"/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s="8" customFormat="1" ht="11.25" customHeight="1">
      <c r="A37" s="10"/>
      <c r="D37" s="80"/>
      <c r="E37" s="80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s="13" customFormat="1" ht="18" customHeight="1" thickBot="1">
      <c r="A38" s="12"/>
      <c r="B38" s="12" t="s">
        <v>13</v>
      </c>
      <c r="C38" s="12" t="s">
        <v>14</v>
      </c>
      <c r="D38" s="65" t="s">
        <v>15</v>
      </c>
      <c r="E38" s="65" t="s">
        <v>34</v>
      </c>
      <c r="F38" s="83" t="s">
        <v>16</v>
      </c>
      <c r="G38" s="84">
        <f>G15</f>
        <v>3</v>
      </c>
      <c r="H38" s="84">
        <f aca="true" t="shared" si="16" ref="H38:Y38">G38+0.25</f>
        <v>3.25</v>
      </c>
      <c r="I38" s="84">
        <f t="shared" si="16"/>
        <v>3.5</v>
      </c>
      <c r="J38" s="84">
        <f t="shared" si="16"/>
        <v>3.75</v>
      </c>
      <c r="K38" s="84">
        <f t="shared" si="16"/>
        <v>4</v>
      </c>
      <c r="L38" s="84">
        <f t="shared" si="16"/>
        <v>4.25</v>
      </c>
      <c r="M38" s="84">
        <f t="shared" si="16"/>
        <v>4.5</v>
      </c>
      <c r="N38" s="84">
        <f t="shared" si="16"/>
        <v>4.75</v>
      </c>
      <c r="O38" s="84">
        <f t="shared" si="16"/>
        <v>5</v>
      </c>
      <c r="P38" s="84">
        <f t="shared" si="16"/>
        <v>5.25</v>
      </c>
      <c r="Q38" s="84">
        <f t="shared" si="16"/>
        <v>5.5</v>
      </c>
      <c r="R38" s="84">
        <f t="shared" si="16"/>
        <v>5.75</v>
      </c>
      <c r="S38" s="84">
        <f t="shared" si="16"/>
        <v>6</v>
      </c>
      <c r="T38" s="84">
        <f t="shared" si="16"/>
        <v>6.25</v>
      </c>
      <c r="U38" s="84">
        <f t="shared" si="16"/>
        <v>6.5</v>
      </c>
      <c r="V38" s="84">
        <f t="shared" si="16"/>
        <v>6.75</v>
      </c>
      <c r="W38" s="84">
        <f t="shared" si="16"/>
        <v>7</v>
      </c>
      <c r="X38" s="84">
        <f t="shared" si="16"/>
        <v>7.25</v>
      </c>
      <c r="Y38" s="84">
        <f t="shared" si="16"/>
        <v>7.5</v>
      </c>
    </row>
    <row r="39" spans="1:25" ht="15" customHeight="1" hidden="1" outlineLevel="1">
      <c r="A39" s="14" t="s">
        <v>17</v>
      </c>
      <c r="B39" s="8"/>
      <c r="D39" s="69"/>
      <c r="E39" s="69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2"/>
    </row>
    <row r="40" spans="1:25" ht="15" customHeight="1" hidden="1" outlineLevel="1">
      <c r="A40" s="14"/>
      <c r="B40" s="8"/>
      <c r="D40" s="69"/>
      <c r="E40" s="69"/>
      <c r="F40" s="70" t="s">
        <v>20</v>
      </c>
      <c r="G40" s="71">
        <f aca="true" t="shared" si="17" ref="G40:Y40">G$38^2/8</f>
        <v>1.125</v>
      </c>
      <c r="H40" s="71">
        <f t="shared" si="17"/>
        <v>1.3203125</v>
      </c>
      <c r="I40" s="71">
        <f t="shared" si="17"/>
        <v>1.53125</v>
      </c>
      <c r="J40" s="71">
        <f t="shared" si="17"/>
        <v>1.7578125</v>
      </c>
      <c r="K40" s="71">
        <f t="shared" si="17"/>
        <v>2</v>
      </c>
      <c r="L40" s="71">
        <f t="shared" si="17"/>
        <v>2.2578125</v>
      </c>
      <c r="M40" s="71">
        <f t="shared" si="17"/>
        <v>2.53125</v>
      </c>
      <c r="N40" s="71">
        <f t="shared" si="17"/>
        <v>2.8203125</v>
      </c>
      <c r="O40" s="71">
        <f t="shared" si="17"/>
        <v>3.125</v>
      </c>
      <c r="P40" s="71">
        <f t="shared" si="17"/>
        <v>3.4453125</v>
      </c>
      <c r="Q40" s="71">
        <f t="shared" si="17"/>
        <v>3.78125</v>
      </c>
      <c r="R40" s="71">
        <f t="shared" si="17"/>
        <v>4.1328125</v>
      </c>
      <c r="S40" s="71">
        <f t="shared" si="17"/>
        <v>4.5</v>
      </c>
      <c r="T40" s="71">
        <f t="shared" si="17"/>
        <v>4.8828125</v>
      </c>
      <c r="U40" s="71">
        <f t="shared" si="17"/>
        <v>5.28125</v>
      </c>
      <c r="V40" s="71">
        <f t="shared" si="17"/>
        <v>5.6953125</v>
      </c>
      <c r="W40" s="71">
        <f t="shared" si="17"/>
        <v>6.125</v>
      </c>
      <c r="X40" s="71">
        <f t="shared" si="17"/>
        <v>6.5703125</v>
      </c>
      <c r="Y40" s="72">
        <f t="shared" si="17"/>
        <v>7.03125</v>
      </c>
    </row>
    <row r="41" spans="1:25" ht="15" customHeight="1" hidden="1" outlineLevel="1">
      <c r="A41" s="14"/>
      <c r="B41" s="8"/>
      <c r="D41" s="69"/>
      <c r="E41" s="69"/>
      <c r="F41" s="70" t="s">
        <v>21</v>
      </c>
      <c r="G41" s="71">
        <f aca="true" t="shared" si="18" ref="G41:Y41">IF(G$38&lt;$M$4,IF(G$38&lt;$M$3,$N$3*G$40,($N$3+0.095*(G$38-$M$3)/1.25)*G$40),IF(G$38&gt;6,0.9*G$40,(0.86+0.04*(G$38-$M$4)/1.35)*G$40))</f>
        <v>0.860625</v>
      </c>
      <c r="H41" s="71">
        <f t="shared" si="18"/>
        <v>1.0100390625</v>
      </c>
      <c r="I41" s="71">
        <f t="shared" si="18"/>
        <v>1.1830437500000002</v>
      </c>
      <c r="J41" s="71">
        <f t="shared" si="18"/>
        <v>1.3914843749999999</v>
      </c>
      <c r="K41" s="71">
        <f t="shared" si="18"/>
        <v>1.6212</v>
      </c>
      <c r="L41" s="71">
        <f t="shared" si="18"/>
        <v>1.87308125</v>
      </c>
      <c r="M41" s="71">
        <f t="shared" si="18"/>
        <v>2.14801875</v>
      </c>
      <c r="N41" s="71">
        <f t="shared" si="18"/>
        <v>2.433825231481481</v>
      </c>
      <c r="O41" s="71">
        <f t="shared" si="18"/>
        <v>2.7199074074074074</v>
      </c>
      <c r="P41" s="71">
        <f t="shared" si="18"/>
        <v>3.02421875</v>
      </c>
      <c r="Q41" s="71">
        <f t="shared" si="18"/>
        <v>3.3471064814814815</v>
      </c>
      <c r="R41" s="71">
        <f t="shared" si="18"/>
        <v>3.6889178240740743</v>
      </c>
      <c r="S41" s="71">
        <f t="shared" si="18"/>
        <v>4.05</v>
      </c>
      <c r="T41" s="71">
        <f t="shared" si="18"/>
        <v>4.39453125</v>
      </c>
      <c r="U41" s="71">
        <f t="shared" si="18"/>
        <v>4.753125</v>
      </c>
      <c r="V41" s="71">
        <f t="shared" si="18"/>
        <v>5.12578125</v>
      </c>
      <c r="W41" s="71">
        <f t="shared" si="18"/>
        <v>5.5125</v>
      </c>
      <c r="X41" s="71">
        <f t="shared" si="18"/>
        <v>5.91328125</v>
      </c>
      <c r="Y41" s="72">
        <f t="shared" si="18"/>
        <v>6.328125</v>
      </c>
    </row>
    <row r="42" spans="1:25" ht="15" customHeight="1" hidden="1" outlineLevel="1">
      <c r="A42" s="14"/>
      <c r="B42" s="8"/>
      <c r="D42" s="69"/>
      <c r="E42" s="69"/>
      <c r="F42" s="70" t="s">
        <v>22</v>
      </c>
      <c r="G42" s="71">
        <f aca="true" t="shared" si="19" ref="G42:Y42">G$38/2-G41/G$38</f>
        <v>1.213125</v>
      </c>
      <c r="H42" s="71">
        <f t="shared" si="19"/>
        <v>1.31421875</v>
      </c>
      <c r="I42" s="71">
        <f t="shared" si="19"/>
        <v>1.4119875</v>
      </c>
      <c r="J42" s="71">
        <f t="shared" si="19"/>
        <v>1.5039375000000001</v>
      </c>
      <c r="K42" s="71">
        <f t="shared" si="19"/>
        <v>1.5947</v>
      </c>
      <c r="L42" s="71">
        <f t="shared" si="19"/>
        <v>1.684275</v>
      </c>
      <c r="M42" s="71">
        <f t="shared" si="19"/>
        <v>1.7726625</v>
      </c>
      <c r="N42" s="71">
        <f t="shared" si="19"/>
        <v>1.8626157407407407</v>
      </c>
      <c r="O42" s="71">
        <f t="shared" si="19"/>
        <v>1.9560185185185186</v>
      </c>
      <c r="P42" s="71">
        <f t="shared" si="19"/>
        <v>2.048958333333333</v>
      </c>
      <c r="Q42" s="71">
        <f t="shared" si="19"/>
        <v>2.141435185185185</v>
      </c>
      <c r="R42" s="71">
        <f t="shared" si="19"/>
        <v>2.2334490740740742</v>
      </c>
      <c r="S42" s="71">
        <f t="shared" si="19"/>
        <v>2.325</v>
      </c>
      <c r="T42" s="71">
        <f t="shared" si="19"/>
        <v>2.421875</v>
      </c>
      <c r="U42" s="71">
        <f t="shared" si="19"/>
        <v>2.51875</v>
      </c>
      <c r="V42" s="71">
        <f t="shared" si="19"/>
        <v>2.615625</v>
      </c>
      <c r="W42" s="71">
        <f t="shared" si="19"/>
        <v>2.7125</v>
      </c>
      <c r="X42" s="71">
        <f t="shared" si="19"/>
        <v>2.809375</v>
      </c>
      <c r="Y42" s="72">
        <f t="shared" si="19"/>
        <v>2.90625</v>
      </c>
    </row>
    <row r="43" spans="1:25" ht="15" customHeight="1" hidden="1" outlineLevel="1">
      <c r="A43" s="14"/>
      <c r="B43" s="8"/>
      <c r="D43" s="69"/>
      <c r="E43" s="69"/>
      <c r="F43" s="70" t="s">
        <v>23</v>
      </c>
      <c r="G43" s="71">
        <f aca="true" t="shared" si="20" ref="G43:Y43">2*(G$38-G42)</f>
        <v>3.57375</v>
      </c>
      <c r="H43" s="71">
        <f t="shared" si="20"/>
        <v>3.8715625</v>
      </c>
      <c r="I43" s="71">
        <f t="shared" si="20"/>
        <v>4.176025</v>
      </c>
      <c r="J43" s="71">
        <f t="shared" si="20"/>
        <v>4.492125</v>
      </c>
      <c r="K43" s="71">
        <f t="shared" si="20"/>
        <v>4.8106</v>
      </c>
      <c r="L43" s="71">
        <f t="shared" si="20"/>
        <v>5.13145</v>
      </c>
      <c r="M43" s="71">
        <f t="shared" si="20"/>
        <v>5.454675</v>
      </c>
      <c r="N43" s="71">
        <f t="shared" si="20"/>
        <v>5.774768518518519</v>
      </c>
      <c r="O43" s="71">
        <f t="shared" si="20"/>
        <v>6.087962962962963</v>
      </c>
      <c r="P43" s="71">
        <f t="shared" si="20"/>
        <v>6.402083333333334</v>
      </c>
      <c r="Q43" s="71">
        <f t="shared" si="20"/>
        <v>6.71712962962963</v>
      </c>
      <c r="R43" s="71">
        <f t="shared" si="20"/>
        <v>7.0331018518518515</v>
      </c>
      <c r="S43" s="71">
        <f t="shared" si="20"/>
        <v>7.35</v>
      </c>
      <c r="T43" s="71">
        <f t="shared" si="20"/>
        <v>7.65625</v>
      </c>
      <c r="U43" s="71">
        <f t="shared" si="20"/>
        <v>7.9625</v>
      </c>
      <c r="V43" s="71">
        <f t="shared" si="20"/>
        <v>8.26875</v>
      </c>
      <c r="W43" s="71">
        <f t="shared" si="20"/>
        <v>8.575</v>
      </c>
      <c r="X43" s="71">
        <f t="shared" si="20"/>
        <v>8.88125</v>
      </c>
      <c r="Y43" s="72">
        <f t="shared" si="20"/>
        <v>9.1875</v>
      </c>
    </row>
    <row r="44" spans="1:25" ht="15" customHeight="1" hidden="1" outlineLevel="1">
      <c r="A44" s="14"/>
      <c r="B44" s="8"/>
      <c r="D44" s="69"/>
      <c r="E44" s="69"/>
      <c r="F44" s="70" t="s">
        <v>24</v>
      </c>
      <c r="G44" s="71">
        <f aca="true" t="shared" si="21" ref="G44:Y44">$C45/G42</f>
        <v>4.808296580038178</v>
      </c>
      <c r="H44" s="71">
        <f t="shared" si="21"/>
        <v>4.438427612342934</v>
      </c>
      <c r="I44" s="71">
        <f t="shared" si="21"/>
        <v>4.131102285720528</v>
      </c>
      <c r="J44" s="71">
        <f t="shared" si="21"/>
        <v>3.878528721212693</v>
      </c>
      <c r="K44" s="71">
        <f t="shared" si="21"/>
        <v>3.6577818954404058</v>
      </c>
      <c r="L44" s="71">
        <f t="shared" si="21"/>
        <v>3.463249640740862</v>
      </c>
      <c r="M44" s="71">
        <f t="shared" si="21"/>
        <v>3.2905670361159074</v>
      </c>
      <c r="N44" s="71">
        <f t="shared" si="21"/>
        <v>3.131652257131185</v>
      </c>
      <c r="O44" s="71">
        <f t="shared" si="21"/>
        <v>2.9821112292314886</v>
      </c>
      <c r="P44" s="71">
        <f t="shared" si="21"/>
        <v>2.8468440249682065</v>
      </c>
      <c r="Q44" s="71">
        <f t="shared" si="21"/>
        <v>2.7239044305487066</v>
      </c>
      <c r="R44" s="71">
        <f t="shared" si="21"/>
        <v>2.6116847061207524</v>
      </c>
      <c r="S44" s="71">
        <f t="shared" si="21"/>
        <v>2.5088450703908878</v>
      </c>
      <c r="T44" s="71">
        <f t="shared" si="21"/>
        <v>2.408491267575253</v>
      </c>
      <c r="U44" s="71">
        <f t="shared" si="21"/>
        <v>2.315856988053128</v>
      </c>
      <c r="V44" s="71">
        <f t="shared" si="21"/>
        <v>2.230084507014123</v>
      </c>
      <c r="W44" s="71">
        <f t="shared" si="21"/>
        <v>2.1504386317636186</v>
      </c>
      <c r="X44" s="71">
        <f t="shared" si="21"/>
        <v>2.0762855754959073</v>
      </c>
      <c r="Y44" s="71">
        <f t="shared" si="21"/>
        <v>2.0070760563127106</v>
      </c>
    </row>
    <row r="45" spans="1:25" ht="15" customHeight="1" hidden="1" outlineLevel="1">
      <c r="A45" s="14"/>
      <c r="B45" s="8">
        <v>0.75</v>
      </c>
      <c r="C45" s="9">
        <f>C18</f>
        <v>5.833064788658815</v>
      </c>
      <c r="D45" s="69"/>
      <c r="E45" s="69"/>
      <c r="F45" s="70" t="s">
        <v>25</v>
      </c>
      <c r="G45" s="71">
        <f aca="true" t="shared" si="22" ref="G45:Y45">$B48*$B$6/G42^2*2/1000000</f>
        <v>8.296743263919753</v>
      </c>
      <c r="H45" s="71">
        <f t="shared" si="22"/>
        <v>7.069414378724524</v>
      </c>
      <c r="I45" s="71">
        <f t="shared" si="22"/>
        <v>6.1243084085276935</v>
      </c>
      <c r="J45" s="71">
        <f t="shared" si="22"/>
        <v>5.398326899938689</v>
      </c>
      <c r="K45" s="71">
        <f t="shared" si="22"/>
        <v>4.801321287674109</v>
      </c>
      <c r="L45" s="71">
        <f t="shared" si="22"/>
        <v>4.304203061841118</v>
      </c>
      <c r="M45" s="71">
        <f t="shared" si="22"/>
        <v>3.8856765101974213</v>
      </c>
      <c r="N45" s="71">
        <f t="shared" si="22"/>
        <v>3.5194290889015796</v>
      </c>
      <c r="O45" s="71">
        <f t="shared" si="22"/>
        <v>3.191338213891549</v>
      </c>
      <c r="P45" s="71">
        <f t="shared" si="22"/>
        <v>2.9083890650048203</v>
      </c>
      <c r="Q45" s="71">
        <f t="shared" si="22"/>
        <v>2.6626181530336552</v>
      </c>
      <c r="R45" s="71">
        <f t="shared" si="22"/>
        <v>2.447747682948593</v>
      </c>
      <c r="S45" s="71">
        <f t="shared" si="22"/>
        <v>2.258774324249599</v>
      </c>
      <c r="T45" s="71">
        <f t="shared" si="22"/>
        <v>2.081686417228431</v>
      </c>
      <c r="U45" s="71">
        <f t="shared" si="22"/>
        <v>1.924636110603209</v>
      </c>
      <c r="V45" s="71">
        <f t="shared" si="22"/>
        <v>1.7847105771848686</v>
      </c>
      <c r="W45" s="71">
        <f t="shared" si="22"/>
        <v>1.659507666795624</v>
      </c>
      <c r="X45" s="71">
        <f t="shared" si="22"/>
        <v>1.5470321174408668</v>
      </c>
      <c r="Y45" s="72">
        <f t="shared" si="22"/>
        <v>1.4456155675197435</v>
      </c>
    </row>
    <row r="46" spans="3:25" ht="15" customHeight="1" hidden="1" outlineLevel="1">
      <c r="C46" s="9">
        <f>J2/$E$9</f>
        <v>27.203364874620274</v>
      </c>
      <c r="D46" s="69"/>
      <c r="E46" s="69"/>
      <c r="F46" s="70" t="s">
        <v>26</v>
      </c>
      <c r="G46" s="71">
        <f aca="true" t="shared" si="23" ref="G46:Y46">1.27/(G41*1000000/($B49*$B$6)+0.5*G43/$C46)</f>
        <v>6.387000472879851</v>
      </c>
      <c r="H46" s="71">
        <f t="shared" si="23"/>
        <v>5.584074731219404</v>
      </c>
      <c r="I46" s="71">
        <f t="shared" si="23"/>
        <v>4.888455625749607</v>
      </c>
      <c r="J46" s="71">
        <f t="shared" si="23"/>
        <v>4.2638117927237005</v>
      </c>
      <c r="K46" s="71">
        <f t="shared" si="23"/>
        <v>3.743544685007179</v>
      </c>
      <c r="L46" s="71">
        <f t="shared" si="23"/>
        <v>3.306268113193626</v>
      </c>
      <c r="M46" s="71">
        <f t="shared" si="23"/>
        <v>2.935750936828893</v>
      </c>
      <c r="N46" s="71">
        <f t="shared" si="23"/>
        <v>2.631027117107817</v>
      </c>
      <c r="O46" s="71">
        <f t="shared" si="23"/>
        <v>2.383990315675524</v>
      </c>
      <c r="P46" s="71">
        <f t="shared" si="23"/>
        <v>2.1688018519132366</v>
      </c>
      <c r="Q46" s="71">
        <f t="shared" si="23"/>
        <v>1.9802769990215503</v>
      </c>
      <c r="R46" s="71">
        <f t="shared" si="23"/>
        <v>1.8142418174656314</v>
      </c>
      <c r="S46" s="71">
        <f t="shared" si="23"/>
        <v>1.6673054777194365</v>
      </c>
      <c r="T46" s="71">
        <f t="shared" si="23"/>
        <v>1.5475675511562168</v>
      </c>
      <c r="U46" s="71">
        <f t="shared" si="23"/>
        <v>1.4403125199052782</v>
      </c>
      <c r="V46" s="71">
        <f t="shared" si="23"/>
        <v>1.3438595806385807</v>
      </c>
      <c r="W46" s="71">
        <f t="shared" si="23"/>
        <v>1.2568022064367153</v>
      </c>
      <c r="X46" s="71">
        <f t="shared" si="23"/>
        <v>1.177956031943864</v>
      </c>
      <c r="Y46" s="72">
        <f t="shared" si="23"/>
        <v>1.1063179572361101</v>
      </c>
    </row>
    <row r="47" spans="3:25" ht="15" customHeight="1" collapsed="1">
      <c r="C47" s="9">
        <f>I2/$E$9</f>
        <v>22.6164609202305</v>
      </c>
      <c r="D47" s="122">
        <f>B45</f>
        <v>0.75</v>
      </c>
      <c r="E47" s="119">
        <v>8.84</v>
      </c>
      <c r="F47" s="70" t="s">
        <v>38</v>
      </c>
      <c r="G47" s="71">
        <f aca="true" t="shared" si="24" ref="G47:Y47">MIN(G44,G45,G46)</f>
        <v>4.808296580038178</v>
      </c>
      <c r="H47" s="71">
        <f t="shared" si="24"/>
        <v>4.438427612342934</v>
      </c>
      <c r="I47" s="71">
        <f t="shared" si="24"/>
        <v>4.131102285720528</v>
      </c>
      <c r="J47" s="71">
        <f t="shared" si="24"/>
        <v>3.878528721212693</v>
      </c>
      <c r="K47" s="71">
        <f t="shared" si="24"/>
        <v>3.6577818954404058</v>
      </c>
      <c r="L47" s="71">
        <f t="shared" si="24"/>
        <v>3.306268113193626</v>
      </c>
      <c r="M47" s="71">
        <f t="shared" si="24"/>
        <v>2.935750936828893</v>
      </c>
      <c r="N47" s="71">
        <f t="shared" si="24"/>
        <v>2.631027117107817</v>
      </c>
      <c r="O47" s="71">
        <f t="shared" si="24"/>
        <v>2.383990315675524</v>
      </c>
      <c r="P47" s="71">
        <f t="shared" si="24"/>
        <v>2.1688018519132366</v>
      </c>
      <c r="Q47" s="71">
        <f t="shared" si="24"/>
        <v>1.9802769990215503</v>
      </c>
      <c r="R47" s="71">
        <f t="shared" si="24"/>
        <v>1.8142418174656314</v>
      </c>
      <c r="S47" s="71">
        <f t="shared" si="24"/>
        <v>1.6673054777194365</v>
      </c>
      <c r="T47" s="71">
        <f t="shared" si="24"/>
        <v>1.5475675511562168</v>
      </c>
      <c r="U47" s="71">
        <f t="shared" si="24"/>
        <v>1.4403125199052782</v>
      </c>
      <c r="V47" s="71">
        <f t="shared" si="24"/>
        <v>1.3438595806385807</v>
      </c>
      <c r="W47" s="71">
        <f t="shared" si="24"/>
        <v>1.2568022064367153</v>
      </c>
      <c r="X47" s="71">
        <f t="shared" si="24"/>
        <v>1.177956031943864</v>
      </c>
      <c r="Y47" s="72">
        <f t="shared" si="24"/>
        <v>1.1063179572361101</v>
      </c>
    </row>
    <row r="48" spans="1:25" ht="15" customHeight="1" hidden="1" outlineLevel="1">
      <c r="A48" s="15" t="s">
        <v>1</v>
      </c>
      <c r="B48" s="8">
        <f>C$2</f>
        <v>21940</v>
      </c>
      <c r="D48" s="120"/>
      <c r="E48" s="120"/>
      <c r="F48" s="70" t="s">
        <v>27</v>
      </c>
      <c r="G48" s="71">
        <f aca="true" t="shared" si="25" ref="G48:Y48">IF(G$38&lt;$P$4,IF(G$38&lt;$P$3,$Q$3*G$40,($Q$3+($Q$4-$Q$3)*(G$38-$P$3)/($P$4-$P$3))*G$40),IF(G$38&gt;6,0.9*G$40,($Q$4+(0.9-$Q$4)*(G$38-$P$4)/($P$5-$P$4))*G$40))</f>
        <v>0.8325</v>
      </c>
      <c r="H48" s="71">
        <f t="shared" si="25"/>
        <v>0.97703125</v>
      </c>
      <c r="I48" s="71">
        <f t="shared" si="25"/>
        <v>1.133125</v>
      </c>
      <c r="J48" s="71">
        <f t="shared" si="25"/>
        <v>1.3392333984375</v>
      </c>
      <c r="K48" s="71">
        <f t="shared" si="25"/>
        <v>1.5675</v>
      </c>
      <c r="L48" s="71">
        <f t="shared" si="25"/>
        <v>1.8189501953124998</v>
      </c>
      <c r="M48" s="71">
        <f t="shared" si="25"/>
        <v>2.0946093749999997</v>
      </c>
      <c r="N48" s="71">
        <f t="shared" si="25"/>
        <v>2.389130108173077</v>
      </c>
      <c r="O48" s="71">
        <f t="shared" si="25"/>
        <v>2.6802884615384612</v>
      </c>
      <c r="P48" s="71">
        <f t="shared" si="25"/>
        <v>2.9914588341346153</v>
      </c>
      <c r="Q48" s="71">
        <f t="shared" si="25"/>
        <v>3.323137019230769</v>
      </c>
      <c r="R48" s="71">
        <f t="shared" si="25"/>
        <v>3.675818810096154</v>
      </c>
      <c r="S48" s="71">
        <f t="shared" si="25"/>
        <v>4.05</v>
      </c>
      <c r="T48" s="71">
        <f t="shared" si="25"/>
        <v>4.39453125</v>
      </c>
      <c r="U48" s="71">
        <f t="shared" si="25"/>
        <v>4.753125</v>
      </c>
      <c r="V48" s="71">
        <f t="shared" si="25"/>
        <v>5.12578125</v>
      </c>
      <c r="W48" s="71">
        <f t="shared" si="25"/>
        <v>5.5125</v>
      </c>
      <c r="X48" s="71">
        <f t="shared" si="25"/>
        <v>5.91328125</v>
      </c>
      <c r="Y48" s="72">
        <f t="shared" si="25"/>
        <v>6.328125</v>
      </c>
    </row>
    <row r="49" spans="1:25" ht="15" customHeight="1" hidden="1" outlineLevel="1">
      <c r="A49" s="15" t="s">
        <v>2</v>
      </c>
      <c r="B49" s="9">
        <f>D$2</f>
        <v>23227.5</v>
      </c>
      <c r="D49" s="120"/>
      <c r="E49" s="120"/>
      <c r="F49" s="70" t="s">
        <v>22</v>
      </c>
      <c r="G49" s="71">
        <f aca="true" t="shared" si="26" ref="G49:Y49">G$38/2-G48/G$38</f>
        <v>1.2225</v>
      </c>
      <c r="H49" s="71">
        <f t="shared" si="26"/>
        <v>1.3243749999999999</v>
      </c>
      <c r="I49" s="71">
        <f t="shared" si="26"/>
        <v>1.42625</v>
      </c>
      <c r="J49" s="71">
        <f t="shared" si="26"/>
        <v>1.51787109375</v>
      </c>
      <c r="K49" s="71">
        <f t="shared" si="26"/>
        <v>1.608125</v>
      </c>
      <c r="L49" s="71">
        <f t="shared" si="26"/>
        <v>1.69701171875</v>
      </c>
      <c r="M49" s="71">
        <f t="shared" si="26"/>
        <v>1.7845312500000001</v>
      </c>
      <c r="N49" s="71">
        <f t="shared" si="26"/>
        <v>1.8720252403846154</v>
      </c>
      <c r="O49" s="71">
        <f t="shared" si="26"/>
        <v>1.9639423076923077</v>
      </c>
      <c r="P49" s="71">
        <f t="shared" si="26"/>
        <v>2.0551983173076924</v>
      </c>
      <c r="Q49" s="71">
        <f t="shared" si="26"/>
        <v>2.1457932692307695</v>
      </c>
      <c r="R49" s="71">
        <f t="shared" si="26"/>
        <v>2.2357271634615383</v>
      </c>
      <c r="S49" s="71">
        <f t="shared" si="26"/>
        <v>2.325</v>
      </c>
      <c r="T49" s="71">
        <f t="shared" si="26"/>
        <v>2.421875</v>
      </c>
      <c r="U49" s="71">
        <f t="shared" si="26"/>
        <v>2.51875</v>
      </c>
      <c r="V49" s="71">
        <f t="shared" si="26"/>
        <v>2.615625</v>
      </c>
      <c r="W49" s="71">
        <f t="shared" si="26"/>
        <v>2.7125</v>
      </c>
      <c r="X49" s="71">
        <f t="shared" si="26"/>
        <v>2.809375</v>
      </c>
      <c r="Y49" s="72">
        <f t="shared" si="26"/>
        <v>2.90625</v>
      </c>
    </row>
    <row r="50" spans="1:25" ht="15" customHeight="1" hidden="1" outlineLevel="1">
      <c r="A50" s="8" t="s">
        <v>3</v>
      </c>
      <c r="B50" s="8">
        <f>E$2</f>
        <v>1670000</v>
      </c>
      <c r="D50" s="120"/>
      <c r="E50" s="120"/>
      <c r="F50" s="70" t="s">
        <v>23</v>
      </c>
      <c r="G50" s="71">
        <f aca="true" t="shared" si="27" ref="G50:Y50">2*(G$38-G49)</f>
        <v>3.555</v>
      </c>
      <c r="H50" s="71">
        <f t="shared" si="27"/>
        <v>3.8512500000000003</v>
      </c>
      <c r="I50" s="71">
        <f t="shared" si="27"/>
        <v>4.1475</v>
      </c>
      <c r="J50" s="71">
        <f t="shared" si="27"/>
        <v>4.4642578125</v>
      </c>
      <c r="K50" s="71">
        <f t="shared" si="27"/>
        <v>4.7837499999999995</v>
      </c>
      <c r="L50" s="71">
        <f t="shared" si="27"/>
        <v>5.1059765625</v>
      </c>
      <c r="M50" s="71">
        <f t="shared" si="27"/>
        <v>5.4309375</v>
      </c>
      <c r="N50" s="71">
        <f t="shared" si="27"/>
        <v>5.75594951923077</v>
      </c>
      <c r="O50" s="71">
        <f t="shared" si="27"/>
        <v>6.072115384615385</v>
      </c>
      <c r="P50" s="71">
        <f t="shared" si="27"/>
        <v>6.389603365384615</v>
      </c>
      <c r="Q50" s="71">
        <f t="shared" si="27"/>
        <v>6.708413461538461</v>
      </c>
      <c r="R50" s="71">
        <f t="shared" si="27"/>
        <v>7.028545673076923</v>
      </c>
      <c r="S50" s="71">
        <f t="shared" si="27"/>
        <v>7.35</v>
      </c>
      <c r="T50" s="71">
        <f t="shared" si="27"/>
        <v>7.65625</v>
      </c>
      <c r="U50" s="71">
        <f t="shared" si="27"/>
        <v>7.9625</v>
      </c>
      <c r="V50" s="71">
        <f t="shared" si="27"/>
        <v>8.26875</v>
      </c>
      <c r="W50" s="71">
        <f t="shared" si="27"/>
        <v>8.575</v>
      </c>
      <c r="X50" s="71">
        <f t="shared" si="27"/>
        <v>8.88125</v>
      </c>
      <c r="Y50" s="72">
        <f t="shared" si="27"/>
        <v>9.1875</v>
      </c>
    </row>
    <row r="51" spans="1:25" ht="15" customHeight="1" hidden="1" outlineLevel="1">
      <c r="A51" s="8"/>
      <c r="B51" s="8"/>
      <c r="D51" s="120"/>
      <c r="E51" s="120"/>
      <c r="F51" s="70" t="s">
        <v>24</v>
      </c>
      <c r="G51" s="71">
        <f aca="true" t="shared" si="28" ref="G51:Y51">$C45/G49</f>
        <v>4.771423140007211</v>
      </c>
      <c r="H51" s="71">
        <f t="shared" si="28"/>
        <v>4.404390590775887</v>
      </c>
      <c r="I51" s="71">
        <f t="shared" si="28"/>
        <v>4.089791262863323</v>
      </c>
      <c r="J51" s="71">
        <f t="shared" si="28"/>
        <v>3.8429250103497568</v>
      </c>
      <c r="K51" s="71">
        <f t="shared" si="28"/>
        <v>3.627245884902489</v>
      </c>
      <c r="L51" s="71">
        <f t="shared" si="28"/>
        <v>3.437256634241386</v>
      </c>
      <c r="M51" s="71">
        <f t="shared" si="28"/>
        <v>3.2686817833303925</v>
      </c>
      <c r="N51" s="71">
        <f t="shared" si="28"/>
        <v>3.115911400564443</v>
      </c>
      <c r="O51" s="71">
        <f t="shared" si="28"/>
        <v>2.970079500712444</v>
      </c>
      <c r="P51" s="71">
        <f t="shared" si="28"/>
        <v>2.838200449823316</v>
      </c>
      <c r="Q51" s="71">
        <f t="shared" si="28"/>
        <v>2.7183722086843294</v>
      </c>
      <c r="R51" s="71">
        <f t="shared" si="28"/>
        <v>2.609023535603325</v>
      </c>
      <c r="S51" s="71">
        <f t="shared" si="28"/>
        <v>2.5088450703908878</v>
      </c>
      <c r="T51" s="71">
        <f t="shared" si="28"/>
        <v>2.408491267575253</v>
      </c>
      <c r="U51" s="71">
        <f t="shared" si="28"/>
        <v>2.315856988053128</v>
      </c>
      <c r="V51" s="71">
        <f t="shared" si="28"/>
        <v>2.230084507014123</v>
      </c>
      <c r="W51" s="71">
        <f t="shared" si="28"/>
        <v>2.1504386317636186</v>
      </c>
      <c r="X51" s="71">
        <f t="shared" si="28"/>
        <v>2.0762855754959073</v>
      </c>
      <c r="Y51" s="71">
        <f t="shared" si="28"/>
        <v>2.0070760563127106</v>
      </c>
    </row>
    <row r="52" spans="1:25" ht="15" customHeight="1" hidden="1" outlineLevel="1">
      <c r="A52" s="8" t="s">
        <v>28</v>
      </c>
      <c r="B52" s="17">
        <f>F$2</f>
        <v>1165000</v>
      </c>
      <c r="D52" s="120"/>
      <c r="E52" s="120"/>
      <c r="F52" s="70" t="s">
        <v>25</v>
      </c>
      <c r="G52" s="71">
        <f aca="true" t="shared" si="29" ref="G52:Y52">$B48*$B$6/G49^2*2/1000000</f>
        <v>8.169980524686158</v>
      </c>
      <c r="H52" s="71">
        <f t="shared" si="29"/>
        <v>6.9614035239929395</v>
      </c>
      <c r="I52" s="71">
        <f t="shared" si="29"/>
        <v>6.002434671197992</v>
      </c>
      <c r="J52" s="71">
        <f t="shared" si="29"/>
        <v>5.299671810346741</v>
      </c>
      <c r="K52" s="71">
        <f t="shared" si="29"/>
        <v>4.7214908214826865</v>
      </c>
      <c r="L52" s="71">
        <f t="shared" si="29"/>
        <v>4.2398361568705045</v>
      </c>
      <c r="M52" s="71">
        <f t="shared" si="29"/>
        <v>3.8341618511804314</v>
      </c>
      <c r="N52" s="71">
        <f t="shared" si="29"/>
        <v>3.4841380691312773</v>
      </c>
      <c r="O52" s="71">
        <f t="shared" si="29"/>
        <v>3.165638397558351</v>
      </c>
      <c r="P52" s="71">
        <f t="shared" si="29"/>
        <v>2.8907550000986055</v>
      </c>
      <c r="Q52" s="71">
        <f t="shared" si="29"/>
        <v>2.6518136359873936</v>
      </c>
      <c r="R52" s="71">
        <f t="shared" si="29"/>
        <v>2.4427619698540783</v>
      </c>
      <c r="S52" s="71">
        <f t="shared" si="29"/>
        <v>2.258774324249599</v>
      </c>
      <c r="T52" s="71">
        <f t="shared" si="29"/>
        <v>2.081686417228431</v>
      </c>
      <c r="U52" s="71">
        <f t="shared" si="29"/>
        <v>1.924636110603209</v>
      </c>
      <c r="V52" s="71">
        <f t="shared" si="29"/>
        <v>1.7847105771848686</v>
      </c>
      <c r="W52" s="71">
        <f t="shared" si="29"/>
        <v>1.659507666795624</v>
      </c>
      <c r="X52" s="71">
        <f t="shared" si="29"/>
        <v>1.5470321174408668</v>
      </c>
      <c r="Y52" s="72">
        <f t="shared" si="29"/>
        <v>1.4456155675197435</v>
      </c>
    </row>
    <row r="53" spans="1:25" ht="15" customHeight="1" hidden="1" outlineLevel="1">
      <c r="A53" s="9" t="s">
        <v>29</v>
      </c>
      <c r="B53" s="19">
        <f>0.65*B50+0.35*B52</f>
        <v>1493250</v>
      </c>
      <c r="D53" s="120"/>
      <c r="E53" s="120"/>
      <c r="F53" s="70" t="s">
        <v>26</v>
      </c>
      <c r="G53" s="71">
        <f aca="true" t="shared" si="30" ref="G53:Y53">1.27/(G48*1000000/($B49*$B$6)+0.5*G50/$C47)</f>
        <v>6.123513199876337</v>
      </c>
      <c r="H53" s="71">
        <f t="shared" si="30"/>
        <v>5.374329760501914</v>
      </c>
      <c r="I53" s="71">
        <f t="shared" si="30"/>
        <v>4.7563986910755744</v>
      </c>
      <c r="J53" s="71">
        <f t="shared" si="30"/>
        <v>4.1516758959784275</v>
      </c>
      <c r="K53" s="71">
        <f t="shared" si="30"/>
        <v>3.6464792548954805</v>
      </c>
      <c r="L53" s="71">
        <f t="shared" si="30"/>
        <v>3.220823054012615</v>
      </c>
      <c r="M53" s="71">
        <f t="shared" si="30"/>
        <v>2.8594381127754827</v>
      </c>
      <c r="N53" s="71">
        <f t="shared" si="30"/>
        <v>2.5558635477550524</v>
      </c>
      <c r="O53" s="71">
        <f t="shared" si="30"/>
        <v>2.313573876899335</v>
      </c>
      <c r="P53" s="71">
        <f t="shared" si="30"/>
        <v>2.1023100065759768</v>
      </c>
      <c r="Q53" s="71">
        <f t="shared" si="30"/>
        <v>1.9170890505257223</v>
      </c>
      <c r="R53" s="71">
        <f t="shared" si="30"/>
        <v>1.753884645159636</v>
      </c>
      <c r="S53" s="71">
        <f t="shared" si="30"/>
        <v>1.6094147318386747</v>
      </c>
      <c r="T53" s="71">
        <f t="shared" si="30"/>
        <v>1.4955551607610296</v>
      </c>
      <c r="U53" s="71">
        <f t="shared" si="30"/>
        <v>1.393407117884564</v>
      </c>
      <c r="V53" s="71">
        <f t="shared" si="30"/>
        <v>1.3014125418775415</v>
      </c>
      <c r="W53" s="71">
        <f t="shared" si="30"/>
        <v>1.2182648918034058</v>
      </c>
      <c r="X53" s="71">
        <f t="shared" si="30"/>
        <v>1.1428618151256962</v>
      </c>
      <c r="Y53" s="72">
        <f t="shared" si="30"/>
        <v>1.0742679171995877</v>
      </c>
    </row>
    <row r="54" spans="4:25" s="16" customFormat="1" ht="15" customHeight="1" collapsed="1">
      <c r="D54" s="120"/>
      <c r="E54" s="120"/>
      <c r="F54" s="73" t="s">
        <v>39</v>
      </c>
      <c r="G54" s="74">
        <f aca="true" t="shared" si="31" ref="G54:Y54">MIN(G51,G52,G53)</f>
        <v>4.771423140007211</v>
      </c>
      <c r="H54" s="74">
        <f t="shared" si="31"/>
        <v>4.404390590775887</v>
      </c>
      <c r="I54" s="74">
        <f t="shared" si="31"/>
        <v>4.089791262863323</v>
      </c>
      <c r="J54" s="74">
        <f t="shared" si="31"/>
        <v>3.8429250103497568</v>
      </c>
      <c r="K54" s="74">
        <f t="shared" si="31"/>
        <v>3.627245884902489</v>
      </c>
      <c r="L54" s="74">
        <f t="shared" si="31"/>
        <v>3.220823054012615</v>
      </c>
      <c r="M54" s="74">
        <f t="shared" si="31"/>
        <v>2.8594381127754827</v>
      </c>
      <c r="N54" s="74">
        <f t="shared" si="31"/>
        <v>2.5558635477550524</v>
      </c>
      <c r="O54" s="74">
        <f t="shared" si="31"/>
        <v>2.313573876899335</v>
      </c>
      <c r="P54" s="74">
        <f t="shared" si="31"/>
        <v>2.1023100065759768</v>
      </c>
      <c r="Q54" s="74">
        <f t="shared" si="31"/>
        <v>1.9170890505257223</v>
      </c>
      <c r="R54" s="74">
        <f t="shared" si="31"/>
        <v>1.753884645159636</v>
      </c>
      <c r="S54" s="74">
        <f t="shared" si="31"/>
        <v>1.6094147318386747</v>
      </c>
      <c r="T54" s="74">
        <f t="shared" si="31"/>
        <v>1.4955551607610296</v>
      </c>
      <c r="U54" s="74">
        <f t="shared" si="31"/>
        <v>1.393407117884564</v>
      </c>
      <c r="V54" s="74">
        <f t="shared" si="31"/>
        <v>1.3014125418775415</v>
      </c>
      <c r="W54" s="74">
        <f t="shared" si="31"/>
        <v>1.2182648918034058</v>
      </c>
      <c r="X54" s="74">
        <f t="shared" si="31"/>
        <v>1.1428618151256962</v>
      </c>
      <c r="Y54" s="75">
        <f t="shared" si="31"/>
        <v>1.0742679171995877</v>
      </c>
    </row>
    <row r="55" spans="4:25" s="8" customFormat="1" ht="15" customHeight="1">
      <c r="D55" s="120"/>
      <c r="E55" s="120"/>
      <c r="F55" s="70" t="s">
        <v>36</v>
      </c>
      <c r="G55" s="71">
        <f aca="true" t="shared" si="32" ref="G55:Y55">192*$B$7*$B53/(G$15*1000)^3/$B$11</f>
        <v>14.866133333333334</v>
      </c>
      <c r="H55" s="71">
        <f t="shared" si="32"/>
        <v>11.692616477014111</v>
      </c>
      <c r="I55" s="71">
        <f t="shared" si="32"/>
        <v>9.361763265306122</v>
      </c>
      <c r="J55" s="71">
        <f t="shared" si="32"/>
        <v>7.611460266666667</v>
      </c>
      <c r="K55" s="71">
        <f t="shared" si="32"/>
        <v>6.271649999999999</v>
      </c>
      <c r="L55" s="71">
        <f t="shared" si="32"/>
        <v>5.2287153266843065</v>
      </c>
      <c r="M55" s="71">
        <f t="shared" si="32"/>
        <v>4.40478024691358</v>
      </c>
      <c r="N55" s="71">
        <f t="shared" si="32"/>
        <v>3.7452512611167807</v>
      </c>
      <c r="O55" s="71">
        <f t="shared" si="32"/>
        <v>3.2110848</v>
      </c>
      <c r="P55" s="71">
        <f t="shared" si="32"/>
        <v>2.7738557823129253</v>
      </c>
      <c r="Q55" s="71">
        <f t="shared" si="32"/>
        <v>2.4125355371900823</v>
      </c>
      <c r="R55" s="71">
        <f t="shared" si="32"/>
        <v>2.111340379715624</v>
      </c>
      <c r="S55" s="71">
        <f t="shared" si="32"/>
        <v>1.8582666666666667</v>
      </c>
      <c r="T55" s="71">
        <f t="shared" si="32"/>
        <v>1.6440754175999999</v>
      </c>
      <c r="U55" s="71">
        <f t="shared" si="32"/>
        <v>1.4615770596267639</v>
      </c>
      <c r="V55" s="71">
        <f t="shared" si="32"/>
        <v>1.3051200731595793</v>
      </c>
      <c r="W55" s="71">
        <f t="shared" si="32"/>
        <v>1.1702204081632652</v>
      </c>
      <c r="X55" s="71">
        <f t="shared" si="32"/>
        <v>1.0532895321661404</v>
      </c>
      <c r="Y55" s="72">
        <f t="shared" si="32"/>
        <v>0.9514325333333333</v>
      </c>
    </row>
    <row r="56" spans="4:25" s="11" customFormat="1" ht="15" customHeight="1">
      <c r="D56" s="121"/>
      <c r="E56" s="121"/>
      <c r="F56" s="76" t="s">
        <v>37</v>
      </c>
      <c r="G56" s="77">
        <f aca="true" t="shared" si="33" ref="G56:Y56">G55*$B$11/$B$12</f>
        <v>7.433066666666667</v>
      </c>
      <c r="H56" s="77">
        <f t="shared" si="33"/>
        <v>5.8463082385070555</v>
      </c>
      <c r="I56" s="77">
        <f t="shared" si="33"/>
        <v>4.680881632653061</v>
      </c>
      <c r="J56" s="77">
        <f t="shared" si="33"/>
        <v>3.8057301333333333</v>
      </c>
      <c r="K56" s="77">
        <f t="shared" si="33"/>
        <v>3.1358249999999996</v>
      </c>
      <c r="L56" s="77">
        <f t="shared" si="33"/>
        <v>2.6143576633421532</v>
      </c>
      <c r="M56" s="77">
        <f t="shared" si="33"/>
        <v>2.20239012345679</v>
      </c>
      <c r="N56" s="77">
        <f t="shared" si="33"/>
        <v>1.8726256305583904</v>
      </c>
      <c r="O56" s="77">
        <f t="shared" si="33"/>
        <v>1.6055424</v>
      </c>
      <c r="P56" s="77">
        <f t="shared" si="33"/>
        <v>1.3869278911564626</v>
      </c>
      <c r="Q56" s="77">
        <f t="shared" si="33"/>
        <v>1.2062677685950411</v>
      </c>
      <c r="R56" s="77">
        <f t="shared" si="33"/>
        <v>1.055670189857812</v>
      </c>
      <c r="S56" s="77">
        <f t="shared" si="33"/>
        <v>0.9291333333333334</v>
      </c>
      <c r="T56" s="77">
        <f t="shared" si="33"/>
        <v>0.8220377087999999</v>
      </c>
      <c r="U56" s="77">
        <f t="shared" si="33"/>
        <v>0.7307885298133819</v>
      </c>
      <c r="V56" s="77">
        <f t="shared" si="33"/>
        <v>0.6525600365797897</v>
      </c>
      <c r="W56" s="77">
        <f t="shared" si="33"/>
        <v>0.5851102040816326</v>
      </c>
      <c r="X56" s="77">
        <f t="shared" si="33"/>
        <v>0.5266447660830702</v>
      </c>
      <c r="Y56" s="78">
        <f t="shared" si="33"/>
        <v>0.47571626666666667</v>
      </c>
    </row>
    <row r="57" spans="2:25" ht="15" customHeight="1" hidden="1" outlineLevel="1">
      <c r="B57" s="8"/>
      <c r="D57" s="79"/>
      <c r="E57" s="79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</row>
    <row r="58" spans="2:25" ht="15" customHeight="1" hidden="1" outlineLevel="1">
      <c r="B58" s="8">
        <f>I58*1000000/($B66*$B$6)</f>
        <v>0.1560000688555824</v>
      </c>
      <c r="D58" s="79"/>
      <c r="E58" s="79"/>
      <c r="F58" s="70" t="s">
        <v>21</v>
      </c>
      <c r="G58" s="71">
        <f aca="true" t="shared" si="34" ref="G58:Y58">IF(G$38&lt;$M$4,IF(G$38&lt;$M$3,$N$3*G$40,($N$3+0.095*(G$38-$M$3)/1.25)*G$40),IF(G$38&gt;6,0.9*G$40,(0.86+0.04*(G$38-$M$4)/1.35)*G$40))</f>
        <v>0.860625</v>
      </c>
      <c r="H58" s="71">
        <f t="shared" si="34"/>
        <v>1.0100390625</v>
      </c>
      <c r="I58" s="71">
        <f t="shared" si="34"/>
        <v>1.1830437500000002</v>
      </c>
      <c r="J58" s="71">
        <f t="shared" si="34"/>
        <v>1.3914843749999999</v>
      </c>
      <c r="K58" s="71">
        <f t="shared" si="34"/>
        <v>1.6212</v>
      </c>
      <c r="L58" s="71">
        <f t="shared" si="34"/>
        <v>1.87308125</v>
      </c>
      <c r="M58" s="71">
        <f t="shared" si="34"/>
        <v>2.14801875</v>
      </c>
      <c r="N58" s="71">
        <f t="shared" si="34"/>
        <v>2.433825231481481</v>
      </c>
      <c r="O58" s="71">
        <f t="shared" si="34"/>
        <v>2.7199074074074074</v>
      </c>
      <c r="P58" s="71">
        <f t="shared" si="34"/>
        <v>3.02421875</v>
      </c>
      <c r="Q58" s="71">
        <f t="shared" si="34"/>
        <v>3.3471064814814815</v>
      </c>
      <c r="R58" s="71">
        <f t="shared" si="34"/>
        <v>3.6889178240740743</v>
      </c>
      <c r="S58" s="71">
        <f t="shared" si="34"/>
        <v>4.05</v>
      </c>
      <c r="T58" s="71">
        <f t="shared" si="34"/>
        <v>4.39453125</v>
      </c>
      <c r="U58" s="71">
        <f t="shared" si="34"/>
        <v>4.753125</v>
      </c>
      <c r="V58" s="71">
        <f t="shared" si="34"/>
        <v>5.12578125</v>
      </c>
      <c r="W58" s="71">
        <f t="shared" si="34"/>
        <v>5.5125</v>
      </c>
      <c r="X58" s="71">
        <f t="shared" si="34"/>
        <v>5.91328125</v>
      </c>
      <c r="Y58" s="72">
        <f t="shared" si="34"/>
        <v>6.328125</v>
      </c>
    </row>
    <row r="59" spans="2:25" ht="15" customHeight="1" hidden="1" outlineLevel="1">
      <c r="B59" s="8">
        <f>0.5*I60/$C63*$E$9</f>
        <v>0.06558167277375068</v>
      </c>
      <c r="D59" s="79"/>
      <c r="E59" s="79"/>
      <c r="F59" s="70" t="s">
        <v>22</v>
      </c>
      <c r="G59" s="71">
        <f aca="true" t="shared" si="35" ref="G59:Y59">G$38/2-G58/G$38</f>
        <v>1.213125</v>
      </c>
      <c r="H59" s="71">
        <f t="shared" si="35"/>
        <v>1.31421875</v>
      </c>
      <c r="I59" s="71">
        <f t="shared" si="35"/>
        <v>1.4119875</v>
      </c>
      <c r="J59" s="71">
        <f t="shared" si="35"/>
        <v>1.5039375000000001</v>
      </c>
      <c r="K59" s="71">
        <f t="shared" si="35"/>
        <v>1.5947</v>
      </c>
      <c r="L59" s="71">
        <f t="shared" si="35"/>
        <v>1.684275</v>
      </c>
      <c r="M59" s="71">
        <f t="shared" si="35"/>
        <v>1.7726625</v>
      </c>
      <c r="N59" s="71">
        <f t="shared" si="35"/>
        <v>1.8626157407407407</v>
      </c>
      <c r="O59" s="71">
        <f t="shared" si="35"/>
        <v>1.9560185185185186</v>
      </c>
      <c r="P59" s="71">
        <f t="shared" si="35"/>
        <v>2.048958333333333</v>
      </c>
      <c r="Q59" s="71">
        <f t="shared" si="35"/>
        <v>2.141435185185185</v>
      </c>
      <c r="R59" s="71">
        <f t="shared" si="35"/>
        <v>2.2334490740740742</v>
      </c>
      <c r="S59" s="71">
        <f t="shared" si="35"/>
        <v>2.325</v>
      </c>
      <c r="T59" s="71">
        <f t="shared" si="35"/>
        <v>2.421875</v>
      </c>
      <c r="U59" s="71">
        <f t="shared" si="35"/>
        <v>2.51875</v>
      </c>
      <c r="V59" s="71">
        <f t="shared" si="35"/>
        <v>2.615625</v>
      </c>
      <c r="W59" s="71">
        <f t="shared" si="35"/>
        <v>2.7125</v>
      </c>
      <c r="X59" s="71">
        <f t="shared" si="35"/>
        <v>2.809375</v>
      </c>
      <c r="Y59" s="72">
        <f t="shared" si="35"/>
        <v>2.90625</v>
      </c>
    </row>
    <row r="60" spans="2:25" ht="15" customHeight="1" hidden="1" outlineLevel="1">
      <c r="B60" s="8"/>
      <c r="D60" s="79"/>
      <c r="E60" s="79"/>
      <c r="F60" s="70" t="s">
        <v>23</v>
      </c>
      <c r="G60" s="71">
        <f aca="true" t="shared" si="36" ref="G60:Y60">2*(G$38-G59)</f>
        <v>3.57375</v>
      </c>
      <c r="H60" s="71">
        <f t="shared" si="36"/>
        <v>3.8715625</v>
      </c>
      <c r="I60" s="71">
        <f t="shared" si="36"/>
        <v>4.176025</v>
      </c>
      <c r="J60" s="71">
        <f t="shared" si="36"/>
        <v>4.492125</v>
      </c>
      <c r="K60" s="71">
        <f t="shared" si="36"/>
        <v>4.8106</v>
      </c>
      <c r="L60" s="71">
        <f t="shared" si="36"/>
        <v>5.13145</v>
      </c>
      <c r="M60" s="71">
        <f t="shared" si="36"/>
        <v>5.454675</v>
      </c>
      <c r="N60" s="71">
        <f t="shared" si="36"/>
        <v>5.774768518518519</v>
      </c>
      <c r="O60" s="71">
        <f t="shared" si="36"/>
        <v>6.087962962962963</v>
      </c>
      <c r="P60" s="71">
        <f t="shared" si="36"/>
        <v>6.402083333333334</v>
      </c>
      <c r="Q60" s="71">
        <f t="shared" si="36"/>
        <v>6.71712962962963</v>
      </c>
      <c r="R60" s="71">
        <f t="shared" si="36"/>
        <v>7.0331018518518515</v>
      </c>
      <c r="S60" s="71">
        <f t="shared" si="36"/>
        <v>7.35</v>
      </c>
      <c r="T60" s="71">
        <f t="shared" si="36"/>
        <v>7.65625</v>
      </c>
      <c r="U60" s="71">
        <f t="shared" si="36"/>
        <v>7.9625</v>
      </c>
      <c r="V60" s="71">
        <f t="shared" si="36"/>
        <v>8.26875</v>
      </c>
      <c r="W60" s="71">
        <f t="shared" si="36"/>
        <v>8.575</v>
      </c>
      <c r="X60" s="71">
        <f t="shared" si="36"/>
        <v>8.88125</v>
      </c>
      <c r="Y60" s="72">
        <f t="shared" si="36"/>
        <v>9.1875</v>
      </c>
    </row>
    <row r="61" spans="2:25" ht="15" customHeight="1" hidden="1" outlineLevel="1">
      <c r="B61" s="8"/>
      <c r="D61" s="79"/>
      <c r="E61" s="79"/>
      <c r="F61" s="70" t="s">
        <v>24</v>
      </c>
      <c r="G61" s="71">
        <f aca="true" t="shared" si="37" ref="G61:Y61">$C62/G59</f>
        <v>6.716652053292392</v>
      </c>
      <c r="H61" s="71">
        <f t="shared" si="37"/>
        <v>6.1999865107314385</v>
      </c>
      <c r="I61" s="71">
        <f t="shared" si="37"/>
        <v>5.770687433245927</v>
      </c>
      <c r="J61" s="71">
        <f t="shared" si="37"/>
        <v>5.417870438199946</v>
      </c>
      <c r="K61" s="71">
        <f t="shared" si="37"/>
        <v>5.109511834295061</v>
      </c>
      <c r="L61" s="71">
        <f t="shared" si="37"/>
        <v>4.837772051565412</v>
      </c>
      <c r="M61" s="71">
        <f t="shared" si="37"/>
        <v>4.596553784011527</v>
      </c>
      <c r="N61" s="71">
        <f t="shared" si="37"/>
        <v>4.3745676276256065</v>
      </c>
      <c r="O61" s="71">
        <f t="shared" si="37"/>
        <v>4.165675552152596</v>
      </c>
      <c r="P61" s="71">
        <f t="shared" si="37"/>
        <v>3.976722410403823</v>
      </c>
      <c r="Q61" s="71">
        <f t="shared" si="37"/>
        <v>3.804989559581607</v>
      </c>
      <c r="R61" s="71">
        <f t="shared" si="37"/>
        <v>3.6482311670922356</v>
      </c>
      <c r="S61" s="71">
        <f t="shared" si="37"/>
        <v>3.504575708451756</v>
      </c>
      <c r="T61" s="71">
        <f t="shared" si="37"/>
        <v>3.364392680113686</v>
      </c>
      <c r="U61" s="71">
        <f t="shared" si="37"/>
        <v>3.2349929616477753</v>
      </c>
      <c r="V61" s="71">
        <f t="shared" si="37"/>
        <v>3.115178407512672</v>
      </c>
      <c r="W61" s="71">
        <f t="shared" si="37"/>
        <v>3.003922035815791</v>
      </c>
      <c r="X61" s="71">
        <f t="shared" si="37"/>
        <v>2.9003385173393843</v>
      </c>
      <c r="Y61" s="71">
        <f t="shared" si="37"/>
        <v>2.8036605667614047</v>
      </c>
    </row>
    <row r="62" spans="1:25" ht="15" customHeight="1" hidden="1" outlineLevel="1">
      <c r="A62" s="14"/>
      <c r="B62" s="8">
        <v>0.88</v>
      </c>
      <c r="C62" s="9">
        <f>C24</f>
        <v>8.148138522150333</v>
      </c>
      <c r="D62" s="79"/>
      <c r="E62" s="79"/>
      <c r="F62" s="70" t="s">
        <v>25</v>
      </c>
      <c r="G62" s="71">
        <f aca="true" t="shared" si="38" ref="G62:Y62">$B65*$B$6/G59^2*2/1000000</f>
        <v>10.161052484116855</v>
      </c>
      <c r="H62" s="71">
        <f t="shared" si="38"/>
        <v>8.657938211318504</v>
      </c>
      <c r="I62" s="71">
        <f t="shared" si="38"/>
        <v>7.50046339731719</v>
      </c>
      <c r="J62" s="71">
        <f t="shared" si="38"/>
        <v>6.611351130417163</v>
      </c>
      <c r="K62" s="71">
        <f t="shared" si="38"/>
        <v>5.880196125788666</v>
      </c>
      <c r="L62" s="71">
        <f t="shared" si="38"/>
        <v>5.271373576648626</v>
      </c>
      <c r="M62" s="71">
        <f t="shared" si="38"/>
        <v>4.758802544621911</v>
      </c>
      <c r="N62" s="71">
        <f t="shared" si="38"/>
        <v>4.3102579589236765</v>
      </c>
      <c r="O62" s="71">
        <f t="shared" si="38"/>
        <v>3.9084438380704616</v>
      </c>
      <c r="P62" s="71">
        <f t="shared" si="38"/>
        <v>3.5619149579161142</v>
      </c>
      <c r="Q62" s="71">
        <f t="shared" si="38"/>
        <v>3.260918403464645</v>
      </c>
      <c r="R62" s="71">
        <f t="shared" si="38"/>
        <v>2.997765735680433</v>
      </c>
      <c r="S62" s="71">
        <f t="shared" si="38"/>
        <v>2.766329357000307</v>
      </c>
      <c r="T62" s="71">
        <f t="shared" si="38"/>
        <v>2.5494491354114834</v>
      </c>
      <c r="U62" s="71">
        <f t="shared" si="38"/>
        <v>2.3571090379174215</v>
      </c>
      <c r="V62" s="71">
        <f t="shared" si="38"/>
        <v>2.1857417141730817</v>
      </c>
      <c r="W62" s="71">
        <f t="shared" si="38"/>
        <v>2.0324052418777767</v>
      </c>
      <c r="X62" s="71">
        <f t="shared" si="38"/>
        <v>1.8946560162094848</v>
      </c>
      <c r="Y62" s="72">
        <f t="shared" si="38"/>
        <v>1.7704507884801965</v>
      </c>
    </row>
    <row r="63" spans="2:25" ht="15" customHeight="1" hidden="1" outlineLevel="1">
      <c r="B63" s="8"/>
      <c r="C63" s="9">
        <f>J3/$E$9</f>
        <v>36.61410686006617</v>
      </c>
      <c r="D63" s="79"/>
      <c r="E63" s="79"/>
      <c r="F63" s="70" t="s">
        <v>26</v>
      </c>
      <c r="G63" s="71">
        <f aca="true" t="shared" si="39" ref="G63:Y63">1.27/(G58*1000000/($B66*$B$6)+0.5*G60/$C63)</f>
        <v>7.825604845765046</v>
      </c>
      <c r="H63" s="71">
        <f t="shared" si="39"/>
        <v>6.82586820707261</v>
      </c>
      <c r="I63" s="71">
        <f t="shared" si="39"/>
        <v>5.9616685256310635</v>
      </c>
      <c r="J63" s="71">
        <f t="shared" si="39"/>
        <v>5.187274409532444</v>
      </c>
      <c r="K63" s="71">
        <f t="shared" si="39"/>
        <v>4.5443150078590175</v>
      </c>
      <c r="L63" s="71">
        <f t="shared" si="39"/>
        <v>4.005481936265687</v>
      </c>
      <c r="M63" s="71">
        <f t="shared" si="39"/>
        <v>3.5501280291443074</v>
      </c>
      <c r="N63" s="71">
        <f t="shared" si="39"/>
        <v>3.1766507107218818</v>
      </c>
      <c r="O63" s="71">
        <f t="shared" si="39"/>
        <v>2.874650400965092</v>
      </c>
      <c r="P63" s="71">
        <f t="shared" si="39"/>
        <v>2.612040264891543</v>
      </c>
      <c r="Q63" s="71">
        <f t="shared" si="39"/>
        <v>2.382340239912212</v>
      </c>
      <c r="R63" s="71">
        <f t="shared" si="39"/>
        <v>2.180345340706512</v>
      </c>
      <c r="S63" s="71">
        <f t="shared" si="39"/>
        <v>2.0018361117158854</v>
      </c>
      <c r="T63" s="71">
        <f t="shared" si="39"/>
        <v>1.8566417257390837</v>
      </c>
      <c r="U63" s="71">
        <f t="shared" si="39"/>
        <v>1.726720688879499</v>
      </c>
      <c r="V63" s="71">
        <f t="shared" si="39"/>
        <v>1.609999658410151</v>
      </c>
      <c r="W63" s="71">
        <f t="shared" si="39"/>
        <v>1.5047461290109765</v>
      </c>
      <c r="X63" s="71">
        <f t="shared" si="39"/>
        <v>1.4095032360032318</v>
      </c>
      <c r="Y63" s="72">
        <f t="shared" si="39"/>
        <v>1.3230386788732196</v>
      </c>
    </row>
    <row r="64" spans="3:25" ht="15" customHeight="1" collapsed="1">
      <c r="C64" s="9">
        <f>I3/$E$9</f>
        <v>30.53892037706508</v>
      </c>
      <c r="D64" s="122">
        <f>B62</f>
        <v>0.88</v>
      </c>
      <c r="E64" s="119">
        <v>10.36</v>
      </c>
      <c r="F64" s="70" t="s">
        <v>38</v>
      </c>
      <c r="G64" s="71">
        <f aca="true" t="shared" si="40" ref="G64:Y64">MIN(G61,G62,G63)</f>
        <v>6.716652053292392</v>
      </c>
      <c r="H64" s="71">
        <f t="shared" si="40"/>
        <v>6.1999865107314385</v>
      </c>
      <c r="I64" s="71">
        <f t="shared" si="40"/>
        <v>5.770687433245927</v>
      </c>
      <c r="J64" s="71">
        <f t="shared" si="40"/>
        <v>5.187274409532444</v>
      </c>
      <c r="K64" s="71">
        <f t="shared" si="40"/>
        <v>4.5443150078590175</v>
      </c>
      <c r="L64" s="71">
        <f t="shared" si="40"/>
        <v>4.005481936265687</v>
      </c>
      <c r="M64" s="71">
        <f t="shared" si="40"/>
        <v>3.5501280291443074</v>
      </c>
      <c r="N64" s="71">
        <f t="shared" si="40"/>
        <v>3.1766507107218818</v>
      </c>
      <c r="O64" s="71">
        <f t="shared" si="40"/>
        <v>2.874650400965092</v>
      </c>
      <c r="P64" s="71">
        <f t="shared" si="40"/>
        <v>2.612040264891543</v>
      </c>
      <c r="Q64" s="71">
        <f t="shared" si="40"/>
        <v>2.382340239912212</v>
      </c>
      <c r="R64" s="71">
        <f t="shared" si="40"/>
        <v>2.180345340706512</v>
      </c>
      <c r="S64" s="71">
        <f t="shared" si="40"/>
        <v>2.0018361117158854</v>
      </c>
      <c r="T64" s="71">
        <f t="shared" si="40"/>
        <v>1.8566417257390837</v>
      </c>
      <c r="U64" s="71">
        <f t="shared" si="40"/>
        <v>1.726720688879499</v>
      </c>
      <c r="V64" s="71">
        <f t="shared" si="40"/>
        <v>1.609999658410151</v>
      </c>
      <c r="W64" s="71">
        <f t="shared" si="40"/>
        <v>1.5047461290109765</v>
      </c>
      <c r="X64" s="71">
        <f t="shared" si="40"/>
        <v>1.4095032360032318</v>
      </c>
      <c r="Y64" s="72">
        <f t="shared" si="40"/>
        <v>1.3230386788732196</v>
      </c>
    </row>
    <row r="65" spans="1:25" ht="15" customHeight="1" hidden="1" outlineLevel="1">
      <c r="A65" s="15" t="s">
        <v>1</v>
      </c>
      <c r="B65" s="8">
        <f>C$3</f>
        <v>26870</v>
      </c>
      <c r="D65" s="120"/>
      <c r="E65" s="120"/>
      <c r="F65" s="70" t="s">
        <v>27</v>
      </c>
      <c r="G65" s="71">
        <f aca="true" t="shared" si="41" ref="G65:Y65">IF(G$38&lt;$P$4,IF(G$38&lt;$P$3,$Q$3*G$40,($Q$3+($Q$4-$Q$3)*(G$38-$P$3)/($P$4-$P$3))*G$40),IF(G$38&gt;6,0.9*G$40,($Q$4+(0.9-$Q$4)*(G$38-$P$4)/($P$5-$P$4))*G$40))</f>
        <v>0.8325</v>
      </c>
      <c r="H65" s="71">
        <f t="shared" si="41"/>
        <v>0.97703125</v>
      </c>
      <c r="I65" s="71">
        <f t="shared" si="41"/>
        <v>1.133125</v>
      </c>
      <c r="J65" s="71">
        <f t="shared" si="41"/>
        <v>1.3392333984375</v>
      </c>
      <c r="K65" s="71">
        <f t="shared" si="41"/>
        <v>1.5675</v>
      </c>
      <c r="L65" s="71">
        <f t="shared" si="41"/>
        <v>1.8189501953124998</v>
      </c>
      <c r="M65" s="71">
        <f t="shared" si="41"/>
        <v>2.0946093749999997</v>
      </c>
      <c r="N65" s="71">
        <f t="shared" si="41"/>
        <v>2.389130108173077</v>
      </c>
      <c r="O65" s="71">
        <f t="shared" si="41"/>
        <v>2.6802884615384612</v>
      </c>
      <c r="P65" s="71">
        <f t="shared" si="41"/>
        <v>2.9914588341346153</v>
      </c>
      <c r="Q65" s="71">
        <f t="shared" si="41"/>
        <v>3.323137019230769</v>
      </c>
      <c r="R65" s="71">
        <f t="shared" si="41"/>
        <v>3.675818810096154</v>
      </c>
      <c r="S65" s="71">
        <f t="shared" si="41"/>
        <v>4.05</v>
      </c>
      <c r="T65" s="71">
        <f t="shared" si="41"/>
        <v>4.39453125</v>
      </c>
      <c r="U65" s="71">
        <f t="shared" si="41"/>
        <v>4.753125</v>
      </c>
      <c r="V65" s="71">
        <f t="shared" si="41"/>
        <v>5.12578125</v>
      </c>
      <c r="W65" s="71">
        <f t="shared" si="41"/>
        <v>5.5125</v>
      </c>
      <c r="X65" s="71">
        <f t="shared" si="41"/>
        <v>5.91328125</v>
      </c>
      <c r="Y65" s="72">
        <f t="shared" si="41"/>
        <v>6.328125</v>
      </c>
    </row>
    <row r="66" spans="1:25" ht="15" customHeight="1" hidden="1" outlineLevel="1">
      <c r="A66" s="15" t="s">
        <v>2</v>
      </c>
      <c r="B66" s="9">
        <f>D$3</f>
        <v>27253.6</v>
      </c>
      <c r="D66" s="120"/>
      <c r="E66" s="120"/>
      <c r="F66" s="70" t="s">
        <v>22</v>
      </c>
      <c r="G66" s="71">
        <f aca="true" t="shared" si="42" ref="G66:Y66">G$38/2-G65/G$38</f>
        <v>1.2225</v>
      </c>
      <c r="H66" s="71">
        <f t="shared" si="42"/>
        <v>1.3243749999999999</v>
      </c>
      <c r="I66" s="71">
        <f t="shared" si="42"/>
        <v>1.42625</v>
      </c>
      <c r="J66" s="71">
        <f t="shared" si="42"/>
        <v>1.51787109375</v>
      </c>
      <c r="K66" s="71">
        <f t="shared" si="42"/>
        <v>1.608125</v>
      </c>
      <c r="L66" s="71">
        <f t="shared" si="42"/>
        <v>1.69701171875</v>
      </c>
      <c r="M66" s="71">
        <f t="shared" si="42"/>
        <v>1.7845312500000001</v>
      </c>
      <c r="N66" s="71">
        <f t="shared" si="42"/>
        <v>1.8720252403846154</v>
      </c>
      <c r="O66" s="71">
        <f t="shared" si="42"/>
        <v>1.9639423076923077</v>
      </c>
      <c r="P66" s="71">
        <f t="shared" si="42"/>
        <v>2.0551983173076924</v>
      </c>
      <c r="Q66" s="71">
        <f t="shared" si="42"/>
        <v>2.1457932692307695</v>
      </c>
      <c r="R66" s="71">
        <f t="shared" si="42"/>
        <v>2.2357271634615383</v>
      </c>
      <c r="S66" s="71">
        <f t="shared" si="42"/>
        <v>2.325</v>
      </c>
      <c r="T66" s="71">
        <f t="shared" si="42"/>
        <v>2.421875</v>
      </c>
      <c r="U66" s="71">
        <f t="shared" si="42"/>
        <v>2.51875</v>
      </c>
      <c r="V66" s="71">
        <f t="shared" si="42"/>
        <v>2.615625</v>
      </c>
      <c r="W66" s="71">
        <f t="shared" si="42"/>
        <v>2.7125</v>
      </c>
      <c r="X66" s="71">
        <f t="shared" si="42"/>
        <v>2.809375</v>
      </c>
      <c r="Y66" s="72">
        <f t="shared" si="42"/>
        <v>2.90625</v>
      </c>
    </row>
    <row r="67" spans="1:25" ht="15" customHeight="1" hidden="1" outlineLevel="1">
      <c r="A67" s="8" t="s">
        <v>3</v>
      </c>
      <c r="B67" s="17">
        <f>E$3</f>
        <v>1940000</v>
      </c>
      <c r="D67" s="120"/>
      <c r="E67" s="120"/>
      <c r="F67" s="70" t="s">
        <v>23</v>
      </c>
      <c r="G67" s="71">
        <f aca="true" t="shared" si="43" ref="G67:Y67">2*(G$38-G66)</f>
        <v>3.555</v>
      </c>
      <c r="H67" s="71">
        <f t="shared" si="43"/>
        <v>3.8512500000000003</v>
      </c>
      <c r="I67" s="71">
        <f t="shared" si="43"/>
        <v>4.1475</v>
      </c>
      <c r="J67" s="71">
        <f t="shared" si="43"/>
        <v>4.4642578125</v>
      </c>
      <c r="K67" s="71">
        <f t="shared" si="43"/>
        <v>4.7837499999999995</v>
      </c>
      <c r="L67" s="71">
        <f t="shared" si="43"/>
        <v>5.1059765625</v>
      </c>
      <c r="M67" s="71">
        <f t="shared" si="43"/>
        <v>5.4309375</v>
      </c>
      <c r="N67" s="71">
        <f t="shared" si="43"/>
        <v>5.75594951923077</v>
      </c>
      <c r="O67" s="71">
        <f t="shared" si="43"/>
        <v>6.072115384615385</v>
      </c>
      <c r="P67" s="71">
        <f t="shared" si="43"/>
        <v>6.389603365384615</v>
      </c>
      <c r="Q67" s="71">
        <f t="shared" si="43"/>
        <v>6.708413461538461</v>
      </c>
      <c r="R67" s="71">
        <f t="shared" si="43"/>
        <v>7.028545673076923</v>
      </c>
      <c r="S67" s="71">
        <f t="shared" si="43"/>
        <v>7.35</v>
      </c>
      <c r="T67" s="71">
        <f t="shared" si="43"/>
        <v>7.65625</v>
      </c>
      <c r="U67" s="71">
        <f t="shared" si="43"/>
        <v>7.9625</v>
      </c>
      <c r="V67" s="71">
        <f t="shared" si="43"/>
        <v>8.26875</v>
      </c>
      <c r="W67" s="71">
        <f t="shared" si="43"/>
        <v>8.575</v>
      </c>
      <c r="X67" s="71">
        <f t="shared" si="43"/>
        <v>8.88125</v>
      </c>
      <c r="Y67" s="72">
        <f t="shared" si="43"/>
        <v>9.1875</v>
      </c>
    </row>
    <row r="68" spans="1:25" ht="15" customHeight="1" hidden="1" outlineLevel="1">
      <c r="A68" s="8"/>
      <c r="B68" s="17"/>
      <c r="D68" s="120"/>
      <c r="E68" s="120"/>
      <c r="F68" s="70" t="s">
        <v>24</v>
      </c>
      <c r="G68" s="71">
        <f aca="true" t="shared" si="44" ref="G68:Y68">$C62/G66</f>
        <v>6.6651439853990455</v>
      </c>
      <c r="H68" s="71">
        <f t="shared" si="44"/>
        <v>6.152440601906812</v>
      </c>
      <c r="I68" s="71">
        <f t="shared" si="44"/>
        <v>5.7129805589134675</v>
      </c>
      <c r="J68" s="71">
        <f t="shared" si="44"/>
        <v>5.3681360398133835</v>
      </c>
      <c r="K68" s="71">
        <f t="shared" si="44"/>
        <v>5.066856445954346</v>
      </c>
      <c r="L68" s="71">
        <f t="shared" si="44"/>
        <v>4.801462731295787</v>
      </c>
      <c r="M68" s="71">
        <f t="shared" si="44"/>
        <v>4.565982535834176</v>
      </c>
      <c r="N68" s="71">
        <f t="shared" si="44"/>
        <v>4.352579413126002</v>
      </c>
      <c r="O68" s="71">
        <f t="shared" si="44"/>
        <v>4.148868574314001</v>
      </c>
      <c r="P68" s="71">
        <f t="shared" si="44"/>
        <v>3.964648303539089</v>
      </c>
      <c r="Q68" s="71">
        <f t="shared" si="44"/>
        <v>3.7972616649465505</v>
      </c>
      <c r="R68" s="71">
        <f t="shared" si="44"/>
        <v>3.644513809786481</v>
      </c>
      <c r="S68" s="71">
        <f t="shared" si="44"/>
        <v>3.504575708451756</v>
      </c>
      <c r="T68" s="71">
        <f t="shared" si="44"/>
        <v>3.364392680113686</v>
      </c>
      <c r="U68" s="71">
        <f t="shared" si="44"/>
        <v>3.2349929616477753</v>
      </c>
      <c r="V68" s="71">
        <f t="shared" si="44"/>
        <v>3.115178407512672</v>
      </c>
      <c r="W68" s="71">
        <f t="shared" si="44"/>
        <v>3.003922035815791</v>
      </c>
      <c r="X68" s="71">
        <f t="shared" si="44"/>
        <v>2.9003385173393843</v>
      </c>
      <c r="Y68" s="71">
        <f t="shared" si="44"/>
        <v>2.8036605667614047</v>
      </c>
    </row>
    <row r="69" spans="1:25" ht="15" customHeight="1" hidden="1" outlineLevel="1">
      <c r="A69" s="8" t="s">
        <v>28</v>
      </c>
      <c r="B69" s="17">
        <f>F$3</f>
        <v>1555000</v>
      </c>
      <c r="D69" s="120"/>
      <c r="E69" s="120"/>
      <c r="F69" s="70" t="s">
        <v>25</v>
      </c>
      <c r="G69" s="71">
        <f aca="true" t="shared" si="45" ref="G69:Y69">$B65*$B$6/G66^2*2/1000000</f>
        <v>10.005805683606066</v>
      </c>
      <c r="H69" s="71">
        <f t="shared" si="45"/>
        <v>8.525656913841855</v>
      </c>
      <c r="I69" s="71">
        <f t="shared" si="45"/>
        <v>7.351204175710579</v>
      </c>
      <c r="J69" s="71">
        <f t="shared" si="45"/>
        <v>6.490527873473881</v>
      </c>
      <c r="K69" s="71">
        <f t="shared" si="45"/>
        <v>5.782427455480392</v>
      </c>
      <c r="L69" s="71">
        <f t="shared" si="45"/>
        <v>5.192543187562009</v>
      </c>
      <c r="M69" s="71">
        <f t="shared" si="45"/>
        <v>4.695712349189526</v>
      </c>
      <c r="N69" s="71">
        <f t="shared" si="45"/>
        <v>4.2670369151120076</v>
      </c>
      <c r="O69" s="71">
        <f t="shared" si="45"/>
        <v>3.876969176955009</v>
      </c>
      <c r="P69" s="71">
        <f t="shared" si="45"/>
        <v>3.5403184527187577</v>
      </c>
      <c r="Q69" s="71">
        <f t="shared" si="45"/>
        <v>3.2476860710565756</v>
      </c>
      <c r="R69" s="71">
        <f t="shared" si="45"/>
        <v>2.9916597142196486</v>
      </c>
      <c r="S69" s="71">
        <f t="shared" si="45"/>
        <v>2.766329357000307</v>
      </c>
      <c r="T69" s="71">
        <f t="shared" si="45"/>
        <v>2.5494491354114834</v>
      </c>
      <c r="U69" s="71">
        <f t="shared" si="45"/>
        <v>2.3571090379174215</v>
      </c>
      <c r="V69" s="71">
        <f t="shared" si="45"/>
        <v>2.1857417141730817</v>
      </c>
      <c r="W69" s="71">
        <f t="shared" si="45"/>
        <v>2.0324052418777767</v>
      </c>
      <c r="X69" s="71">
        <f t="shared" si="45"/>
        <v>1.8946560162094848</v>
      </c>
      <c r="Y69" s="72">
        <f t="shared" si="45"/>
        <v>1.7704507884801965</v>
      </c>
    </row>
    <row r="70" spans="1:25" ht="15" customHeight="1" hidden="1" outlineLevel="1">
      <c r="A70" s="9" t="s">
        <v>29</v>
      </c>
      <c r="B70" s="19">
        <f>0.65*B67+0.35*B69</f>
        <v>1805250</v>
      </c>
      <c r="D70" s="120"/>
      <c r="E70" s="120"/>
      <c r="F70" s="70" t="s">
        <v>26</v>
      </c>
      <c r="G70" s="71">
        <f aca="true" t="shared" si="46" ref="G70:Y70">1.27/(G65*1000000/($B66*$B$6)+0.5*G67/$C64)</f>
        <v>7.560395792326581</v>
      </c>
      <c r="H70" s="71">
        <f t="shared" si="46"/>
        <v>6.618397147689084</v>
      </c>
      <c r="I70" s="71">
        <f t="shared" si="46"/>
        <v>5.843842369402302</v>
      </c>
      <c r="J70" s="71">
        <f t="shared" si="46"/>
        <v>5.086367367838005</v>
      </c>
      <c r="K70" s="71">
        <f t="shared" si="46"/>
        <v>4.455860025700573</v>
      </c>
      <c r="L70" s="71">
        <f t="shared" si="46"/>
        <v>3.9264103366792336</v>
      </c>
      <c r="M70" s="71">
        <f t="shared" si="46"/>
        <v>3.4783044217586667</v>
      </c>
      <c r="N70" s="71">
        <f t="shared" si="46"/>
        <v>3.103023936115117</v>
      </c>
      <c r="O70" s="71">
        <f t="shared" si="46"/>
        <v>2.804474695093881</v>
      </c>
      <c r="P70" s="71">
        <f t="shared" si="46"/>
        <v>2.5446935631567964</v>
      </c>
      <c r="Q70" s="71">
        <f t="shared" si="46"/>
        <v>2.317375767151027</v>
      </c>
      <c r="R70" s="71">
        <f t="shared" si="46"/>
        <v>2.1174400147390675</v>
      </c>
      <c r="S70" s="71">
        <f t="shared" si="46"/>
        <v>1.9407545347921389</v>
      </c>
      <c r="T70" s="71">
        <f t="shared" si="46"/>
        <v>1.801853472300664</v>
      </c>
      <c r="U70" s="71">
        <f t="shared" si="46"/>
        <v>1.677388656025444</v>
      </c>
      <c r="V70" s="71">
        <f t="shared" si="46"/>
        <v>1.5654216408176669</v>
      </c>
      <c r="W70" s="71">
        <f t="shared" si="46"/>
        <v>1.4643295127038731</v>
      </c>
      <c r="X70" s="71">
        <f t="shared" si="46"/>
        <v>1.3727450697515564</v>
      </c>
      <c r="Y70" s="72">
        <f t="shared" si="46"/>
        <v>1.289509854126442</v>
      </c>
    </row>
    <row r="71" spans="4:25" s="16" customFormat="1" ht="15" customHeight="1" collapsed="1">
      <c r="D71" s="120"/>
      <c r="E71" s="120"/>
      <c r="F71" s="73" t="s">
        <v>39</v>
      </c>
      <c r="G71" s="74">
        <f aca="true" t="shared" si="47" ref="G71:Y71">MIN(G68,G69,G70)</f>
        <v>6.6651439853990455</v>
      </c>
      <c r="H71" s="74">
        <f t="shared" si="47"/>
        <v>6.152440601906812</v>
      </c>
      <c r="I71" s="74">
        <f t="shared" si="47"/>
        <v>5.7129805589134675</v>
      </c>
      <c r="J71" s="74">
        <f t="shared" si="47"/>
        <v>5.086367367838005</v>
      </c>
      <c r="K71" s="74">
        <f t="shared" si="47"/>
        <v>4.455860025700573</v>
      </c>
      <c r="L71" s="74">
        <f t="shared" si="47"/>
        <v>3.9264103366792336</v>
      </c>
      <c r="M71" s="74">
        <f t="shared" si="47"/>
        <v>3.4783044217586667</v>
      </c>
      <c r="N71" s="74">
        <f t="shared" si="47"/>
        <v>3.103023936115117</v>
      </c>
      <c r="O71" s="74">
        <f t="shared" si="47"/>
        <v>2.804474695093881</v>
      </c>
      <c r="P71" s="74">
        <f t="shared" si="47"/>
        <v>2.5446935631567964</v>
      </c>
      <c r="Q71" s="74">
        <f t="shared" si="47"/>
        <v>2.317375767151027</v>
      </c>
      <c r="R71" s="74">
        <f t="shared" si="47"/>
        <v>2.1174400147390675</v>
      </c>
      <c r="S71" s="74">
        <f t="shared" si="47"/>
        <v>1.9407545347921389</v>
      </c>
      <c r="T71" s="74">
        <f t="shared" si="47"/>
        <v>1.801853472300664</v>
      </c>
      <c r="U71" s="74">
        <f t="shared" si="47"/>
        <v>1.677388656025444</v>
      </c>
      <c r="V71" s="74">
        <f t="shared" si="47"/>
        <v>1.5654216408176669</v>
      </c>
      <c r="W71" s="74">
        <f t="shared" si="47"/>
        <v>1.4643295127038731</v>
      </c>
      <c r="X71" s="74">
        <f t="shared" si="47"/>
        <v>1.3727450697515564</v>
      </c>
      <c r="Y71" s="75">
        <f t="shared" si="47"/>
        <v>1.289509854126442</v>
      </c>
    </row>
    <row r="72" spans="4:25" s="8" customFormat="1" ht="15" customHeight="1">
      <c r="D72" s="120"/>
      <c r="E72" s="120"/>
      <c r="F72" s="70" t="s">
        <v>36</v>
      </c>
      <c r="G72" s="71">
        <f aca="true" t="shared" si="48" ref="G72:Y72">192*$B$7*$B70/(G$15*1000)^3/$B$11</f>
        <v>17.972266666666666</v>
      </c>
      <c r="H72" s="71">
        <f t="shared" si="48"/>
        <v>14.135674465179791</v>
      </c>
      <c r="I72" s="71">
        <f t="shared" si="48"/>
        <v>11.31781224489796</v>
      </c>
      <c r="J72" s="71">
        <f t="shared" si="48"/>
        <v>9.201800533333333</v>
      </c>
      <c r="K72" s="71">
        <f t="shared" si="48"/>
        <v>7.582049999999999</v>
      </c>
      <c r="L72" s="71">
        <f t="shared" si="48"/>
        <v>6.321204315082435</v>
      </c>
      <c r="M72" s="71">
        <f t="shared" si="48"/>
        <v>5.325116049382716</v>
      </c>
      <c r="N72" s="71">
        <f t="shared" si="48"/>
        <v>4.527784924916168</v>
      </c>
      <c r="O72" s="71">
        <f t="shared" si="48"/>
        <v>3.8820095999999995</v>
      </c>
      <c r="P72" s="71">
        <f t="shared" si="48"/>
        <v>3.353425850340136</v>
      </c>
      <c r="Q72" s="71">
        <f t="shared" si="48"/>
        <v>2.9166112697220132</v>
      </c>
      <c r="R72" s="71">
        <f t="shared" si="48"/>
        <v>2.5524843264568093</v>
      </c>
      <c r="S72" s="71">
        <f t="shared" si="48"/>
        <v>2.2465333333333333</v>
      </c>
      <c r="T72" s="71">
        <f t="shared" si="48"/>
        <v>1.9875889152</v>
      </c>
      <c r="U72" s="71">
        <f t="shared" si="48"/>
        <v>1.766959308147474</v>
      </c>
      <c r="V72" s="71">
        <f t="shared" si="48"/>
        <v>1.5778121627800639</v>
      </c>
      <c r="W72" s="71">
        <f t="shared" si="48"/>
        <v>1.414726530612245</v>
      </c>
      <c r="X72" s="71">
        <f t="shared" si="48"/>
        <v>1.2733640903686088</v>
      </c>
      <c r="Y72" s="72">
        <f t="shared" si="48"/>
        <v>1.1502250666666667</v>
      </c>
    </row>
    <row r="73" spans="4:25" s="11" customFormat="1" ht="15" customHeight="1">
      <c r="D73" s="121"/>
      <c r="E73" s="121"/>
      <c r="F73" s="76" t="s">
        <v>37</v>
      </c>
      <c r="G73" s="77">
        <f aca="true" t="shared" si="49" ref="G73:Y73">G72*$B$11/$B$12</f>
        <v>8.986133333333333</v>
      </c>
      <c r="H73" s="77">
        <f t="shared" si="49"/>
        <v>7.067837232589896</v>
      </c>
      <c r="I73" s="77">
        <f t="shared" si="49"/>
        <v>5.65890612244898</v>
      </c>
      <c r="J73" s="77">
        <f t="shared" si="49"/>
        <v>4.600900266666667</v>
      </c>
      <c r="K73" s="77">
        <f t="shared" si="49"/>
        <v>3.7910249999999994</v>
      </c>
      <c r="L73" s="77">
        <f t="shared" si="49"/>
        <v>3.1606021575412173</v>
      </c>
      <c r="M73" s="77">
        <f t="shared" si="49"/>
        <v>2.662558024691358</v>
      </c>
      <c r="N73" s="77">
        <f t="shared" si="49"/>
        <v>2.263892462458084</v>
      </c>
      <c r="O73" s="77">
        <f t="shared" si="49"/>
        <v>1.9410047999999998</v>
      </c>
      <c r="P73" s="77">
        <f t="shared" si="49"/>
        <v>1.676712925170068</v>
      </c>
      <c r="Q73" s="77">
        <f t="shared" si="49"/>
        <v>1.4583056348610066</v>
      </c>
      <c r="R73" s="77">
        <f t="shared" si="49"/>
        <v>1.2762421632284047</v>
      </c>
      <c r="S73" s="77">
        <f t="shared" si="49"/>
        <v>1.1232666666666666</v>
      </c>
      <c r="T73" s="77">
        <f t="shared" si="49"/>
        <v>0.9937944576</v>
      </c>
      <c r="U73" s="77">
        <f t="shared" si="49"/>
        <v>0.883479654073737</v>
      </c>
      <c r="V73" s="77">
        <f t="shared" si="49"/>
        <v>0.7889060813900319</v>
      </c>
      <c r="W73" s="77">
        <f t="shared" si="49"/>
        <v>0.7073632653061225</v>
      </c>
      <c r="X73" s="77">
        <f t="shared" si="49"/>
        <v>0.6366820451843044</v>
      </c>
      <c r="Y73" s="78">
        <f t="shared" si="49"/>
        <v>0.5751125333333333</v>
      </c>
    </row>
    <row r="74" spans="2:25" ht="15" customHeight="1" hidden="1" outlineLevel="1">
      <c r="B74" s="17"/>
      <c r="C74" s="17"/>
      <c r="D74" s="79"/>
      <c r="E74" s="79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</row>
    <row r="75" spans="2:25" ht="15" customHeight="1" hidden="1" outlineLevel="1">
      <c r="B75" s="17"/>
      <c r="C75" s="17"/>
      <c r="D75" s="79"/>
      <c r="E75" s="79"/>
      <c r="F75" s="70" t="s">
        <v>21</v>
      </c>
      <c r="G75" s="71">
        <f aca="true" t="shared" si="50" ref="G75:Y75">IF(G$38&lt;$M$4,IF(G$38&lt;$M$3,$N$3*G$40,($N$3+0.095*(G$38-$M$3)/1.25)*G$40),IF(G$38&gt;6,0.9*G$40,(0.86+0.04*(G$38-$M$4)/1.35)*G$40))</f>
        <v>0.860625</v>
      </c>
      <c r="H75" s="71">
        <f t="shared" si="50"/>
        <v>1.0100390625</v>
      </c>
      <c r="I75" s="71">
        <f t="shared" si="50"/>
        <v>1.1830437500000002</v>
      </c>
      <c r="J75" s="71">
        <f t="shared" si="50"/>
        <v>1.3914843749999999</v>
      </c>
      <c r="K75" s="71">
        <f t="shared" si="50"/>
        <v>1.6212</v>
      </c>
      <c r="L75" s="71">
        <f t="shared" si="50"/>
        <v>1.87308125</v>
      </c>
      <c r="M75" s="71">
        <f t="shared" si="50"/>
        <v>2.14801875</v>
      </c>
      <c r="N75" s="71">
        <f t="shared" si="50"/>
        <v>2.433825231481481</v>
      </c>
      <c r="O75" s="71">
        <f t="shared" si="50"/>
        <v>2.7199074074074074</v>
      </c>
      <c r="P75" s="71">
        <f t="shared" si="50"/>
        <v>3.02421875</v>
      </c>
      <c r="Q75" s="71">
        <f t="shared" si="50"/>
        <v>3.3471064814814815</v>
      </c>
      <c r="R75" s="71">
        <f t="shared" si="50"/>
        <v>3.6889178240740743</v>
      </c>
      <c r="S75" s="71">
        <f t="shared" si="50"/>
        <v>4.05</v>
      </c>
      <c r="T75" s="71">
        <f t="shared" si="50"/>
        <v>4.39453125</v>
      </c>
      <c r="U75" s="71">
        <f t="shared" si="50"/>
        <v>4.753125</v>
      </c>
      <c r="V75" s="71">
        <f t="shared" si="50"/>
        <v>5.12578125</v>
      </c>
      <c r="W75" s="71">
        <f t="shared" si="50"/>
        <v>5.5125</v>
      </c>
      <c r="X75" s="71">
        <f t="shared" si="50"/>
        <v>5.91328125</v>
      </c>
      <c r="Y75" s="72">
        <f t="shared" si="50"/>
        <v>6.328125</v>
      </c>
    </row>
    <row r="76" spans="2:25" ht="15" customHeight="1" hidden="1" outlineLevel="1">
      <c r="B76" s="17"/>
      <c r="C76" s="17"/>
      <c r="D76" s="79"/>
      <c r="E76" s="79"/>
      <c r="F76" s="70" t="s">
        <v>22</v>
      </c>
      <c r="G76" s="71">
        <f aca="true" t="shared" si="51" ref="G76:Y76">G$38/2-G75/G$38</f>
        <v>1.213125</v>
      </c>
      <c r="H76" s="71">
        <f t="shared" si="51"/>
        <v>1.31421875</v>
      </c>
      <c r="I76" s="71">
        <f t="shared" si="51"/>
        <v>1.4119875</v>
      </c>
      <c r="J76" s="71">
        <f t="shared" si="51"/>
        <v>1.5039375000000001</v>
      </c>
      <c r="K76" s="71">
        <f t="shared" si="51"/>
        <v>1.5947</v>
      </c>
      <c r="L76" s="71">
        <f t="shared" si="51"/>
        <v>1.684275</v>
      </c>
      <c r="M76" s="71">
        <f t="shared" si="51"/>
        <v>1.7726625</v>
      </c>
      <c r="N76" s="71">
        <f t="shared" si="51"/>
        <v>1.8626157407407407</v>
      </c>
      <c r="O76" s="71">
        <f t="shared" si="51"/>
        <v>1.9560185185185186</v>
      </c>
      <c r="P76" s="71">
        <f t="shared" si="51"/>
        <v>2.048958333333333</v>
      </c>
      <c r="Q76" s="71">
        <f t="shared" si="51"/>
        <v>2.141435185185185</v>
      </c>
      <c r="R76" s="71">
        <f t="shared" si="51"/>
        <v>2.2334490740740742</v>
      </c>
      <c r="S76" s="71">
        <f t="shared" si="51"/>
        <v>2.325</v>
      </c>
      <c r="T76" s="71">
        <f t="shared" si="51"/>
        <v>2.421875</v>
      </c>
      <c r="U76" s="71">
        <f t="shared" si="51"/>
        <v>2.51875</v>
      </c>
      <c r="V76" s="71">
        <f t="shared" si="51"/>
        <v>2.615625</v>
      </c>
      <c r="W76" s="71">
        <f t="shared" si="51"/>
        <v>2.7125</v>
      </c>
      <c r="X76" s="71">
        <f t="shared" si="51"/>
        <v>2.809375</v>
      </c>
      <c r="Y76" s="72">
        <f t="shared" si="51"/>
        <v>2.90625</v>
      </c>
    </row>
    <row r="77" spans="2:25" ht="15" customHeight="1" hidden="1" outlineLevel="1">
      <c r="B77" s="17"/>
      <c r="C77" s="17"/>
      <c r="D77" s="79"/>
      <c r="E77" s="79"/>
      <c r="F77" s="70" t="s">
        <v>23</v>
      </c>
      <c r="G77" s="71">
        <f aca="true" t="shared" si="52" ref="G77:Y77">2*(G$38-G76)</f>
        <v>3.57375</v>
      </c>
      <c r="H77" s="71">
        <f t="shared" si="52"/>
        <v>3.8715625</v>
      </c>
      <c r="I77" s="71">
        <f t="shared" si="52"/>
        <v>4.176025</v>
      </c>
      <c r="J77" s="71">
        <f t="shared" si="52"/>
        <v>4.492125</v>
      </c>
      <c r="K77" s="71">
        <f t="shared" si="52"/>
        <v>4.8106</v>
      </c>
      <c r="L77" s="71">
        <f t="shared" si="52"/>
        <v>5.13145</v>
      </c>
      <c r="M77" s="71">
        <f t="shared" si="52"/>
        <v>5.454675</v>
      </c>
      <c r="N77" s="71">
        <f t="shared" si="52"/>
        <v>5.774768518518519</v>
      </c>
      <c r="O77" s="71">
        <f t="shared" si="52"/>
        <v>6.087962962962963</v>
      </c>
      <c r="P77" s="71">
        <f t="shared" si="52"/>
        <v>6.402083333333334</v>
      </c>
      <c r="Q77" s="71">
        <f t="shared" si="52"/>
        <v>6.71712962962963</v>
      </c>
      <c r="R77" s="71">
        <f t="shared" si="52"/>
        <v>7.0331018518518515</v>
      </c>
      <c r="S77" s="71">
        <f t="shared" si="52"/>
        <v>7.35</v>
      </c>
      <c r="T77" s="71">
        <f t="shared" si="52"/>
        <v>7.65625</v>
      </c>
      <c r="U77" s="71">
        <f t="shared" si="52"/>
        <v>7.9625</v>
      </c>
      <c r="V77" s="71">
        <f t="shared" si="52"/>
        <v>8.26875</v>
      </c>
      <c r="W77" s="71">
        <f t="shared" si="52"/>
        <v>8.575</v>
      </c>
      <c r="X77" s="71">
        <f t="shared" si="52"/>
        <v>8.88125</v>
      </c>
      <c r="Y77" s="72">
        <f t="shared" si="52"/>
        <v>9.1875</v>
      </c>
    </row>
    <row r="78" spans="2:25" ht="15" customHeight="1" hidden="1" outlineLevel="1">
      <c r="B78" s="17"/>
      <c r="C78" s="17"/>
      <c r="D78" s="79"/>
      <c r="E78" s="79"/>
      <c r="F78" s="70" t="s">
        <v>24</v>
      </c>
      <c r="G78" s="71">
        <f aca="true" t="shared" si="53" ref="G78:Y78">$C79/G76</f>
        <v>8.765974089645878</v>
      </c>
      <c r="H78" s="71">
        <f t="shared" si="53"/>
        <v>8.091668390442349</v>
      </c>
      <c r="I78" s="71">
        <f t="shared" si="53"/>
        <v>7.531385594774498</v>
      </c>
      <c r="J78" s="71">
        <f t="shared" si="53"/>
        <v>7.070920379006212</v>
      </c>
      <c r="K78" s="71">
        <f t="shared" si="53"/>
        <v>6.668478282750145</v>
      </c>
      <c r="L78" s="71">
        <f t="shared" si="53"/>
        <v>6.313827799796147</v>
      </c>
      <c r="M78" s="71">
        <f t="shared" si="53"/>
        <v>5.999011271181996</v>
      </c>
      <c r="N78" s="71">
        <f t="shared" si="53"/>
        <v>5.709294775567907</v>
      </c>
      <c r="O78" s="71">
        <f t="shared" si="53"/>
        <v>5.436667504332208</v>
      </c>
      <c r="P78" s="71">
        <f t="shared" si="53"/>
        <v>5.19006274773848</v>
      </c>
      <c r="Q78" s="71">
        <f t="shared" si="53"/>
        <v>4.965932376133084</v>
      </c>
      <c r="R78" s="71">
        <f t="shared" si="53"/>
        <v>4.761345329492372</v>
      </c>
      <c r="S78" s="71">
        <f t="shared" si="53"/>
        <v>4.573859061291035</v>
      </c>
      <c r="T78" s="71">
        <f t="shared" si="53"/>
        <v>4.390904698839393</v>
      </c>
      <c r="U78" s="71">
        <f t="shared" si="53"/>
        <v>4.222023748884032</v>
      </c>
      <c r="V78" s="71">
        <f t="shared" si="53"/>
        <v>4.065652498925364</v>
      </c>
      <c r="W78" s="71">
        <f t="shared" si="53"/>
        <v>3.9204506239637444</v>
      </c>
      <c r="X78" s="71">
        <f t="shared" si="53"/>
        <v>3.78526267141327</v>
      </c>
      <c r="Y78" s="71">
        <f t="shared" si="53"/>
        <v>3.659087249032828</v>
      </c>
    </row>
    <row r="79" spans="1:25" ht="15" customHeight="1" hidden="1" outlineLevel="1">
      <c r="A79" s="14"/>
      <c r="B79" s="8">
        <v>1</v>
      </c>
      <c r="C79" s="9">
        <f>C30</f>
        <v>10.634222317501656</v>
      </c>
      <c r="D79" s="79"/>
      <c r="E79" s="79"/>
      <c r="F79" s="70" t="s">
        <v>25</v>
      </c>
      <c r="G79" s="71">
        <f aca="true" t="shared" si="54" ref="G79:Y79">$B82*$B$6/G76^2*2/1000000</f>
        <v>14.521191492001755</v>
      </c>
      <c r="H79" s="71">
        <f t="shared" si="54"/>
        <v>12.37308624170564</v>
      </c>
      <c r="I79" s="71">
        <f t="shared" si="54"/>
        <v>10.718935409638261</v>
      </c>
      <c r="J79" s="71">
        <f t="shared" si="54"/>
        <v>9.44830232259096</v>
      </c>
      <c r="K79" s="71">
        <f t="shared" si="54"/>
        <v>8.403406446977476</v>
      </c>
      <c r="L79" s="71">
        <f t="shared" si="54"/>
        <v>7.533336261380991</v>
      </c>
      <c r="M79" s="71">
        <f t="shared" si="54"/>
        <v>6.8008194162069735</v>
      </c>
      <c r="N79" s="71">
        <f t="shared" si="54"/>
        <v>6.159802963255272</v>
      </c>
      <c r="O79" s="71">
        <f t="shared" si="54"/>
        <v>5.585569161961508</v>
      </c>
      <c r="P79" s="71">
        <f t="shared" si="54"/>
        <v>5.090343668923661</v>
      </c>
      <c r="Q79" s="71">
        <f t="shared" si="54"/>
        <v>4.66018856319473</v>
      </c>
      <c r="R79" s="71">
        <f t="shared" si="54"/>
        <v>4.284116272799726</v>
      </c>
      <c r="S79" s="71">
        <f t="shared" si="54"/>
        <v>3.9533698291333006</v>
      </c>
      <c r="T79" s="71">
        <f t="shared" si="54"/>
        <v>3.64342563452925</v>
      </c>
      <c r="U79" s="71">
        <f t="shared" si="54"/>
        <v>3.368551807072162</v>
      </c>
      <c r="V79" s="71">
        <f t="shared" si="54"/>
        <v>3.1236502353645834</v>
      </c>
      <c r="W79" s="71">
        <f t="shared" si="54"/>
        <v>2.90451660915916</v>
      </c>
      <c r="X79" s="71">
        <f t="shared" si="54"/>
        <v>2.7076587652565767</v>
      </c>
      <c r="Y79" s="72">
        <f t="shared" si="54"/>
        <v>2.5301566906453123</v>
      </c>
    </row>
    <row r="80" spans="2:25" ht="15" customHeight="1" hidden="1" outlineLevel="1">
      <c r="B80" s="8"/>
      <c r="C80" s="9">
        <f>J4/$E$9</f>
        <v>46.300213416497485</v>
      </c>
      <c r="D80" s="79"/>
      <c r="E80" s="79"/>
      <c r="F80" s="70" t="s">
        <v>26</v>
      </c>
      <c r="G80" s="71">
        <f aca="true" t="shared" si="55" ref="G80:Y80">1.27/(G75*1000000/($B83*$B$6)+0.5*G77/$C80)</f>
        <v>9.17232976174909</v>
      </c>
      <c r="H80" s="71">
        <f t="shared" si="55"/>
        <v>7.986718987655058</v>
      </c>
      <c r="I80" s="71">
        <f t="shared" si="55"/>
        <v>6.963585358921179</v>
      </c>
      <c r="J80" s="71">
        <f t="shared" si="55"/>
        <v>6.048244119317475</v>
      </c>
      <c r="K80" s="71">
        <f t="shared" si="55"/>
        <v>5.290042803023491</v>
      </c>
      <c r="L80" s="71">
        <f t="shared" si="55"/>
        <v>4.655992073798363</v>
      </c>
      <c r="M80" s="71">
        <f t="shared" si="55"/>
        <v>4.121222462853186</v>
      </c>
      <c r="N80" s="71">
        <f t="shared" si="55"/>
        <v>3.68348042033158</v>
      </c>
      <c r="O80" s="71">
        <f t="shared" si="55"/>
        <v>3.3301716798655696</v>
      </c>
      <c r="P80" s="71">
        <f t="shared" si="55"/>
        <v>3.0233334582590654</v>
      </c>
      <c r="Q80" s="71">
        <f t="shared" si="55"/>
        <v>2.7552623216067054</v>
      </c>
      <c r="R80" s="71">
        <f t="shared" si="55"/>
        <v>2.5197810255285407</v>
      </c>
      <c r="S80" s="71">
        <f t="shared" si="55"/>
        <v>2.311889836556341</v>
      </c>
      <c r="T80" s="71">
        <f t="shared" si="55"/>
        <v>2.1430234912067174</v>
      </c>
      <c r="U80" s="71">
        <f t="shared" si="55"/>
        <v>1.992035000152621</v>
      </c>
      <c r="V80" s="71">
        <f t="shared" si="55"/>
        <v>1.8564831939117594</v>
      </c>
      <c r="W80" s="71">
        <f t="shared" si="55"/>
        <v>1.7343303626709854</v>
      </c>
      <c r="X80" s="71">
        <f t="shared" si="55"/>
        <v>1.6238647020302552</v>
      </c>
      <c r="Y80" s="72">
        <f t="shared" si="55"/>
        <v>1.5236396308410052</v>
      </c>
    </row>
    <row r="81" spans="2:25" ht="15" customHeight="1" collapsed="1">
      <c r="B81" s="8"/>
      <c r="C81" s="9">
        <f>I4/$E$9</f>
        <v>38.72177153759831</v>
      </c>
      <c r="D81" s="122">
        <f>B79</f>
        <v>1</v>
      </c>
      <c r="E81" s="119">
        <v>11.78</v>
      </c>
      <c r="F81" s="70" t="s">
        <v>38</v>
      </c>
      <c r="G81" s="71">
        <f aca="true" t="shared" si="56" ref="G81:Y81">MIN(G78,G79,G80)</f>
        <v>8.765974089645878</v>
      </c>
      <c r="H81" s="71">
        <f t="shared" si="56"/>
        <v>7.986718987655058</v>
      </c>
      <c r="I81" s="71">
        <f t="shared" si="56"/>
        <v>6.963585358921179</v>
      </c>
      <c r="J81" s="71">
        <f t="shared" si="56"/>
        <v>6.048244119317475</v>
      </c>
      <c r="K81" s="71">
        <f t="shared" si="56"/>
        <v>5.290042803023491</v>
      </c>
      <c r="L81" s="71">
        <f t="shared" si="56"/>
        <v>4.655992073798363</v>
      </c>
      <c r="M81" s="71">
        <f t="shared" si="56"/>
        <v>4.121222462853186</v>
      </c>
      <c r="N81" s="71">
        <f t="shared" si="56"/>
        <v>3.68348042033158</v>
      </c>
      <c r="O81" s="71">
        <f t="shared" si="56"/>
        <v>3.3301716798655696</v>
      </c>
      <c r="P81" s="71">
        <f t="shared" si="56"/>
        <v>3.0233334582590654</v>
      </c>
      <c r="Q81" s="71">
        <f t="shared" si="56"/>
        <v>2.7552623216067054</v>
      </c>
      <c r="R81" s="71">
        <f t="shared" si="56"/>
        <v>2.5197810255285407</v>
      </c>
      <c r="S81" s="71">
        <f t="shared" si="56"/>
        <v>2.311889836556341</v>
      </c>
      <c r="T81" s="71">
        <f t="shared" si="56"/>
        <v>2.1430234912067174</v>
      </c>
      <c r="U81" s="71">
        <f t="shared" si="56"/>
        <v>1.992035000152621</v>
      </c>
      <c r="V81" s="71">
        <f t="shared" si="56"/>
        <v>1.8564831939117594</v>
      </c>
      <c r="W81" s="71">
        <f t="shared" si="56"/>
        <v>1.7343303626709854</v>
      </c>
      <c r="X81" s="71">
        <f t="shared" si="56"/>
        <v>1.6238647020302552</v>
      </c>
      <c r="Y81" s="72">
        <f t="shared" si="56"/>
        <v>1.5236396308410052</v>
      </c>
    </row>
    <row r="82" spans="1:25" ht="15" customHeight="1" hidden="1" outlineLevel="1">
      <c r="A82" s="15" t="s">
        <v>1</v>
      </c>
      <c r="B82" s="8">
        <f>C$4</f>
        <v>38400</v>
      </c>
      <c r="D82" s="120"/>
      <c r="E82" s="120"/>
      <c r="F82" s="70" t="s">
        <v>27</v>
      </c>
      <c r="G82" s="71">
        <f aca="true" t="shared" si="57" ref="G82:Y82">IF(G$38&lt;$P$4,IF(G$38&lt;$P$3,$Q$3*G$40,($Q$3+($Q$4-$Q$3)*(G$38-$P$3)/($P$4-$P$3))*G$40),IF(G$38&gt;6,0.9*G$40,($Q$4+(0.9-$Q$4)*(G$38-$P$4)/($P$5-$P$4))*G$40))</f>
        <v>0.8325</v>
      </c>
      <c r="H82" s="71">
        <f t="shared" si="57"/>
        <v>0.97703125</v>
      </c>
      <c r="I82" s="71">
        <f t="shared" si="57"/>
        <v>1.133125</v>
      </c>
      <c r="J82" s="71">
        <f t="shared" si="57"/>
        <v>1.3392333984375</v>
      </c>
      <c r="K82" s="71">
        <f t="shared" si="57"/>
        <v>1.5675</v>
      </c>
      <c r="L82" s="71">
        <f t="shared" si="57"/>
        <v>1.8189501953124998</v>
      </c>
      <c r="M82" s="71">
        <f t="shared" si="57"/>
        <v>2.0946093749999997</v>
      </c>
      <c r="N82" s="71">
        <f t="shared" si="57"/>
        <v>2.389130108173077</v>
      </c>
      <c r="O82" s="71">
        <f t="shared" si="57"/>
        <v>2.6802884615384612</v>
      </c>
      <c r="P82" s="71">
        <f t="shared" si="57"/>
        <v>2.9914588341346153</v>
      </c>
      <c r="Q82" s="71">
        <f t="shared" si="57"/>
        <v>3.323137019230769</v>
      </c>
      <c r="R82" s="71">
        <f t="shared" si="57"/>
        <v>3.675818810096154</v>
      </c>
      <c r="S82" s="71">
        <f t="shared" si="57"/>
        <v>4.05</v>
      </c>
      <c r="T82" s="71">
        <f t="shared" si="57"/>
        <v>4.39453125</v>
      </c>
      <c r="U82" s="71">
        <f t="shared" si="57"/>
        <v>4.753125</v>
      </c>
      <c r="V82" s="71">
        <f t="shared" si="57"/>
        <v>5.12578125</v>
      </c>
      <c r="W82" s="71">
        <f t="shared" si="57"/>
        <v>5.5125</v>
      </c>
      <c r="X82" s="71">
        <f t="shared" si="57"/>
        <v>5.91328125</v>
      </c>
      <c r="Y82" s="72">
        <f t="shared" si="57"/>
        <v>6.328125</v>
      </c>
    </row>
    <row r="83" spans="1:25" ht="15" customHeight="1" hidden="1" outlineLevel="1">
      <c r="A83" s="15" t="s">
        <v>2</v>
      </c>
      <c r="B83" s="9">
        <f>D$4</f>
        <v>30970</v>
      </c>
      <c r="D83" s="120"/>
      <c r="E83" s="120"/>
      <c r="F83" s="70" t="s">
        <v>22</v>
      </c>
      <c r="G83" s="71">
        <f aca="true" t="shared" si="58" ref="G83:Y83">G$38/2-G82/G$38</f>
        <v>1.2225</v>
      </c>
      <c r="H83" s="71">
        <f t="shared" si="58"/>
        <v>1.3243749999999999</v>
      </c>
      <c r="I83" s="71">
        <f t="shared" si="58"/>
        <v>1.42625</v>
      </c>
      <c r="J83" s="71">
        <f t="shared" si="58"/>
        <v>1.51787109375</v>
      </c>
      <c r="K83" s="71">
        <f t="shared" si="58"/>
        <v>1.608125</v>
      </c>
      <c r="L83" s="71">
        <f t="shared" si="58"/>
        <v>1.69701171875</v>
      </c>
      <c r="M83" s="71">
        <f t="shared" si="58"/>
        <v>1.7845312500000001</v>
      </c>
      <c r="N83" s="71">
        <f t="shared" si="58"/>
        <v>1.8720252403846154</v>
      </c>
      <c r="O83" s="71">
        <f t="shared" si="58"/>
        <v>1.9639423076923077</v>
      </c>
      <c r="P83" s="71">
        <f t="shared" si="58"/>
        <v>2.0551983173076924</v>
      </c>
      <c r="Q83" s="71">
        <f t="shared" si="58"/>
        <v>2.1457932692307695</v>
      </c>
      <c r="R83" s="71">
        <f t="shared" si="58"/>
        <v>2.2357271634615383</v>
      </c>
      <c r="S83" s="71">
        <f t="shared" si="58"/>
        <v>2.325</v>
      </c>
      <c r="T83" s="71">
        <f t="shared" si="58"/>
        <v>2.421875</v>
      </c>
      <c r="U83" s="71">
        <f t="shared" si="58"/>
        <v>2.51875</v>
      </c>
      <c r="V83" s="71">
        <f t="shared" si="58"/>
        <v>2.615625</v>
      </c>
      <c r="W83" s="71">
        <f t="shared" si="58"/>
        <v>2.7125</v>
      </c>
      <c r="X83" s="71">
        <f t="shared" si="58"/>
        <v>2.809375</v>
      </c>
      <c r="Y83" s="72">
        <f t="shared" si="58"/>
        <v>2.90625</v>
      </c>
    </row>
    <row r="84" spans="1:25" ht="15" customHeight="1" hidden="1" outlineLevel="1">
      <c r="A84" s="8" t="s">
        <v>3</v>
      </c>
      <c r="B84" s="17">
        <f>E$4</f>
        <v>2414000</v>
      </c>
      <c r="D84" s="120"/>
      <c r="E84" s="120"/>
      <c r="F84" s="70" t="s">
        <v>23</v>
      </c>
      <c r="G84" s="71">
        <f aca="true" t="shared" si="59" ref="G84:Y84">2*(G$38-G83)</f>
        <v>3.555</v>
      </c>
      <c r="H84" s="71">
        <f t="shared" si="59"/>
        <v>3.8512500000000003</v>
      </c>
      <c r="I84" s="71">
        <f t="shared" si="59"/>
        <v>4.1475</v>
      </c>
      <c r="J84" s="71">
        <f t="shared" si="59"/>
        <v>4.4642578125</v>
      </c>
      <c r="K84" s="71">
        <f t="shared" si="59"/>
        <v>4.7837499999999995</v>
      </c>
      <c r="L84" s="71">
        <f t="shared" si="59"/>
        <v>5.1059765625</v>
      </c>
      <c r="M84" s="71">
        <f t="shared" si="59"/>
        <v>5.4309375</v>
      </c>
      <c r="N84" s="71">
        <f t="shared" si="59"/>
        <v>5.75594951923077</v>
      </c>
      <c r="O84" s="71">
        <f t="shared" si="59"/>
        <v>6.072115384615385</v>
      </c>
      <c r="P84" s="71">
        <f t="shared" si="59"/>
        <v>6.389603365384615</v>
      </c>
      <c r="Q84" s="71">
        <f t="shared" si="59"/>
        <v>6.708413461538461</v>
      </c>
      <c r="R84" s="71">
        <f t="shared" si="59"/>
        <v>7.028545673076923</v>
      </c>
      <c r="S84" s="71">
        <f t="shared" si="59"/>
        <v>7.35</v>
      </c>
      <c r="T84" s="71">
        <f t="shared" si="59"/>
        <v>7.65625</v>
      </c>
      <c r="U84" s="71">
        <f t="shared" si="59"/>
        <v>7.9625</v>
      </c>
      <c r="V84" s="71">
        <f t="shared" si="59"/>
        <v>8.26875</v>
      </c>
      <c r="W84" s="71">
        <f t="shared" si="59"/>
        <v>8.575</v>
      </c>
      <c r="X84" s="71">
        <f t="shared" si="59"/>
        <v>8.88125</v>
      </c>
      <c r="Y84" s="72">
        <f t="shared" si="59"/>
        <v>9.1875</v>
      </c>
    </row>
    <row r="85" spans="1:25" ht="15" customHeight="1" hidden="1" outlineLevel="1">
      <c r="A85" s="8"/>
      <c r="B85" s="17"/>
      <c r="D85" s="120"/>
      <c r="E85" s="120"/>
      <c r="F85" s="70" t="s">
        <v>24</v>
      </c>
      <c r="G85" s="71">
        <f aca="true" t="shared" si="60" ref="G85:Y85">$C79/G83</f>
        <v>8.698750361964546</v>
      </c>
      <c r="H85" s="71">
        <f t="shared" si="60"/>
        <v>8.029615718736505</v>
      </c>
      <c r="I85" s="71">
        <f t="shared" si="60"/>
        <v>7.456071738826753</v>
      </c>
      <c r="J85" s="71">
        <f t="shared" si="60"/>
        <v>7.006011486277872</v>
      </c>
      <c r="K85" s="71">
        <f t="shared" si="60"/>
        <v>6.612808281384629</v>
      </c>
      <c r="L85" s="71">
        <f t="shared" si="60"/>
        <v>6.2664401194204515</v>
      </c>
      <c r="M85" s="71">
        <f t="shared" si="60"/>
        <v>5.959112409772401</v>
      </c>
      <c r="N85" s="71">
        <f t="shared" si="60"/>
        <v>5.68059772277259</v>
      </c>
      <c r="O85" s="71">
        <f t="shared" si="60"/>
        <v>5.414732538654454</v>
      </c>
      <c r="P85" s="71">
        <f t="shared" si="60"/>
        <v>5.1743047023474</v>
      </c>
      <c r="Q85" s="71">
        <f t="shared" si="60"/>
        <v>4.955846618585883</v>
      </c>
      <c r="R85" s="71">
        <f t="shared" si="60"/>
        <v>4.756493766903503</v>
      </c>
      <c r="S85" s="71">
        <f t="shared" si="60"/>
        <v>4.573859061291035</v>
      </c>
      <c r="T85" s="71">
        <f t="shared" si="60"/>
        <v>4.390904698839393</v>
      </c>
      <c r="U85" s="71">
        <f t="shared" si="60"/>
        <v>4.222023748884032</v>
      </c>
      <c r="V85" s="71">
        <f t="shared" si="60"/>
        <v>4.065652498925364</v>
      </c>
      <c r="W85" s="71">
        <f t="shared" si="60"/>
        <v>3.9204506239637444</v>
      </c>
      <c r="X85" s="71">
        <f t="shared" si="60"/>
        <v>3.78526267141327</v>
      </c>
      <c r="Y85" s="71">
        <f t="shared" si="60"/>
        <v>3.659087249032828</v>
      </c>
    </row>
    <row r="86" spans="1:25" ht="15" customHeight="1" hidden="1" outlineLevel="1">
      <c r="A86" s="8" t="s">
        <v>28</v>
      </c>
      <c r="B86" s="17">
        <f>F$4</f>
        <v>1880000</v>
      </c>
      <c r="D86" s="120"/>
      <c r="E86" s="120"/>
      <c r="F86" s="70" t="s">
        <v>25</v>
      </c>
      <c r="G86" s="71">
        <f aca="true" t="shared" si="61" ref="G86:Y86">$B82*$B$6/G83^2*2/1000000</f>
        <v>14.299327809842685</v>
      </c>
      <c r="H86" s="71">
        <f t="shared" si="61"/>
        <v>12.184042630871874</v>
      </c>
      <c r="I86" s="71">
        <f t="shared" si="61"/>
        <v>10.505628594986462</v>
      </c>
      <c r="J86" s="71">
        <f t="shared" si="61"/>
        <v>9.275633432876704</v>
      </c>
      <c r="K86" s="71">
        <f t="shared" si="61"/>
        <v>8.263684938237702</v>
      </c>
      <c r="L86" s="71">
        <f t="shared" si="61"/>
        <v>7.42067950883443</v>
      </c>
      <c r="M86" s="71">
        <f t="shared" si="61"/>
        <v>6.7106570230322955</v>
      </c>
      <c r="N86" s="71">
        <f t="shared" si="61"/>
        <v>6.098035636036513</v>
      </c>
      <c r="O86" s="71">
        <f t="shared" si="61"/>
        <v>5.540588626537862</v>
      </c>
      <c r="P86" s="71">
        <f t="shared" si="61"/>
        <v>5.059480036635663</v>
      </c>
      <c r="Q86" s="71">
        <f t="shared" si="61"/>
        <v>4.641278196076387</v>
      </c>
      <c r="R86" s="71">
        <f t="shared" si="61"/>
        <v>4.275390138668943</v>
      </c>
      <c r="S86" s="71">
        <f t="shared" si="61"/>
        <v>3.9533698291333006</v>
      </c>
      <c r="T86" s="71">
        <f t="shared" si="61"/>
        <v>3.64342563452925</v>
      </c>
      <c r="U86" s="71">
        <f t="shared" si="61"/>
        <v>3.368551807072162</v>
      </c>
      <c r="V86" s="71">
        <f t="shared" si="61"/>
        <v>3.1236502353645834</v>
      </c>
      <c r="W86" s="71">
        <f t="shared" si="61"/>
        <v>2.90451660915916</v>
      </c>
      <c r="X86" s="71">
        <f t="shared" si="61"/>
        <v>2.7076587652565767</v>
      </c>
      <c r="Y86" s="72">
        <f t="shared" si="61"/>
        <v>2.5301566906453123</v>
      </c>
    </row>
    <row r="87" spans="1:25" ht="15" customHeight="1" hidden="1" outlineLevel="1">
      <c r="A87" s="9" t="s">
        <v>29</v>
      </c>
      <c r="B87" s="19">
        <f>0.65*B84+0.35*B86</f>
        <v>2227100</v>
      </c>
      <c r="D87" s="120"/>
      <c r="E87" s="120"/>
      <c r="F87" s="70" t="s">
        <v>26</v>
      </c>
      <c r="G87" s="71">
        <f aca="true" t="shared" si="62" ref="G87:Y87">1.27/(G82*1000000/($B83*$B$6)+0.5*G84/$C81)</f>
        <v>8.911813443143744</v>
      </c>
      <c r="H87" s="71">
        <f t="shared" si="62"/>
        <v>7.786433267502152</v>
      </c>
      <c r="I87" s="71">
        <f t="shared" si="62"/>
        <v>6.8632827587471</v>
      </c>
      <c r="J87" s="71">
        <f t="shared" si="62"/>
        <v>5.961053679551167</v>
      </c>
      <c r="K87" s="71">
        <f t="shared" si="62"/>
        <v>5.212115459482706</v>
      </c>
      <c r="L87" s="71">
        <f t="shared" si="62"/>
        <v>4.584803415955067</v>
      </c>
      <c r="M87" s="71">
        <f t="shared" si="62"/>
        <v>4.055103738486994</v>
      </c>
      <c r="N87" s="71">
        <f t="shared" si="62"/>
        <v>3.6124861744807517</v>
      </c>
      <c r="O87" s="71">
        <f t="shared" si="62"/>
        <v>3.261202509353675</v>
      </c>
      <c r="P87" s="71">
        <f t="shared" si="62"/>
        <v>2.9560000629794367</v>
      </c>
      <c r="Q87" s="71">
        <f t="shared" si="62"/>
        <v>2.6893153483026606</v>
      </c>
      <c r="R87" s="71">
        <f t="shared" si="62"/>
        <v>2.4550646021057676</v>
      </c>
      <c r="S87" s="71">
        <f t="shared" si="62"/>
        <v>2.2483101058773527</v>
      </c>
      <c r="T87" s="71">
        <f t="shared" si="62"/>
        <v>2.086062396300567</v>
      </c>
      <c r="U87" s="71">
        <f t="shared" si="62"/>
        <v>1.9408036263898296</v>
      </c>
      <c r="V87" s="71">
        <f t="shared" si="62"/>
        <v>1.8102371742759877</v>
      </c>
      <c r="W87" s="71">
        <f t="shared" si="62"/>
        <v>1.6924425306726403</v>
      </c>
      <c r="X87" s="71">
        <f t="shared" si="62"/>
        <v>1.585803602220462</v>
      </c>
      <c r="Y87" s="72">
        <f t="shared" si="62"/>
        <v>1.4889524942404757</v>
      </c>
    </row>
    <row r="88" spans="4:25" s="16" customFormat="1" ht="15" customHeight="1" collapsed="1">
      <c r="D88" s="120"/>
      <c r="E88" s="120"/>
      <c r="F88" s="73" t="s">
        <v>39</v>
      </c>
      <c r="G88" s="74">
        <f aca="true" t="shared" si="63" ref="G88:Y88">MIN(G85,G86,G87)</f>
        <v>8.698750361964546</v>
      </c>
      <c r="H88" s="74">
        <f t="shared" si="63"/>
        <v>7.786433267502152</v>
      </c>
      <c r="I88" s="74">
        <f t="shared" si="63"/>
        <v>6.8632827587471</v>
      </c>
      <c r="J88" s="74">
        <f t="shared" si="63"/>
        <v>5.961053679551167</v>
      </c>
      <c r="K88" s="74">
        <f t="shared" si="63"/>
        <v>5.212115459482706</v>
      </c>
      <c r="L88" s="74">
        <f t="shared" si="63"/>
        <v>4.584803415955067</v>
      </c>
      <c r="M88" s="74">
        <f t="shared" si="63"/>
        <v>4.055103738486994</v>
      </c>
      <c r="N88" s="74">
        <f t="shared" si="63"/>
        <v>3.6124861744807517</v>
      </c>
      <c r="O88" s="74">
        <f t="shared" si="63"/>
        <v>3.261202509353675</v>
      </c>
      <c r="P88" s="74">
        <f t="shared" si="63"/>
        <v>2.9560000629794367</v>
      </c>
      <c r="Q88" s="74">
        <f t="shared" si="63"/>
        <v>2.6893153483026606</v>
      </c>
      <c r="R88" s="74">
        <f t="shared" si="63"/>
        <v>2.4550646021057676</v>
      </c>
      <c r="S88" s="74">
        <f t="shared" si="63"/>
        <v>2.2483101058773527</v>
      </c>
      <c r="T88" s="74">
        <f t="shared" si="63"/>
        <v>2.086062396300567</v>
      </c>
      <c r="U88" s="74">
        <f t="shared" si="63"/>
        <v>1.9408036263898296</v>
      </c>
      <c r="V88" s="74">
        <f t="shared" si="63"/>
        <v>1.8102371742759877</v>
      </c>
      <c r="W88" s="74">
        <f t="shared" si="63"/>
        <v>1.6924425306726403</v>
      </c>
      <c r="X88" s="74">
        <f t="shared" si="63"/>
        <v>1.585803602220462</v>
      </c>
      <c r="Y88" s="75">
        <f t="shared" si="63"/>
        <v>1.4889524942404757</v>
      </c>
    </row>
    <row r="89" spans="4:25" s="8" customFormat="1" ht="15" customHeight="1">
      <c r="D89" s="120"/>
      <c r="E89" s="120"/>
      <c r="F89" s="70" t="s">
        <v>36</v>
      </c>
      <c r="G89" s="71">
        <f aca="true" t="shared" si="64" ref="G89:Y89">192*$B$7*$B87/(G$15*1000)^3/$B$11</f>
        <v>22.172017777777775</v>
      </c>
      <c r="H89" s="71">
        <f t="shared" si="64"/>
        <v>17.43889245334547</v>
      </c>
      <c r="I89" s="71">
        <f t="shared" si="64"/>
        <v>13.962553469387755</v>
      </c>
      <c r="J89" s="71">
        <f t="shared" si="64"/>
        <v>11.352073102222223</v>
      </c>
      <c r="K89" s="71">
        <f t="shared" si="64"/>
        <v>9.35382</v>
      </c>
      <c r="L89" s="71">
        <f t="shared" si="64"/>
        <v>7.798340468145736</v>
      </c>
      <c r="M89" s="71">
        <f t="shared" si="64"/>
        <v>6.569486748971193</v>
      </c>
      <c r="N89" s="71">
        <f t="shared" si="64"/>
        <v>5.585835649511591</v>
      </c>
      <c r="O89" s="71">
        <f t="shared" si="64"/>
        <v>4.78915584</v>
      </c>
      <c r="P89" s="71">
        <f t="shared" si="64"/>
        <v>4.137052879818594</v>
      </c>
      <c r="Q89" s="71">
        <f t="shared" si="64"/>
        <v>3.5981636664162284</v>
      </c>
      <c r="R89" s="71">
        <f t="shared" si="64"/>
        <v>3.1489477044464538</v>
      </c>
      <c r="S89" s="71">
        <f t="shared" si="64"/>
        <v>2.771502222222222</v>
      </c>
      <c r="T89" s="71">
        <f t="shared" si="64"/>
        <v>2.45204779008</v>
      </c>
      <c r="U89" s="71">
        <f t="shared" si="64"/>
        <v>2.179861556668184</v>
      </c>
      <c r="V89" s="71">
        <f t="shared" si="64"/>
        <v>1.946514592287761</v>
      </c>
      <c r="W89" s="71">
        <f t="shared" si="64"/>
        <v>1.7453191836734694</v>
      </c>
      <c r="X89" s="71">
        <f t="shared" si="64"/>
        <v>1.5709232326048628</v>
      </c>
      <c r="Y89" s="72">
        <f t="shared" si="64"/>
        <v>1.4190091377777778</v>
      </c>
    </row>
    <row r="90" spans="4:25" s="11" customFormat="1" ht="15" customHeight="1">
      <c r="D90" s="121"/>
      <c r="E90" s="121"/>
      <c r="F90" s="76" t="s">
        <v>37</v>
      </c>
      <c r="G90" s="77">
        <f aca="true" t="shared" si="65" ref="G90:Y90">G89*$B$11/$B$12</f>
        <v>11.086008888888887</v>
      </c>
      <c r="H90" s="77">
        <f t="shared" si="65"/>
        <v>8.719446226672735</v>
      </c>
      <c r="I90" s="77">
        <f t="shared" si="65"/>
        <v>6.9812767346938776</v>
      </c>
      <c r="J90" s="77">
        <f t="shared" si="65"/>
        <v>5.676036551111111</v>
      </c>
      <c r="K90" s="77">
        <f t="shared" si="65"/>
        <v>4.67691</v>
      </c>
      <c r="L90" s="77">
        <f t="shared" si="65"/>
        <v>3.899170234072868</v>
      </c>
      <c r="M90" s="77">
        <f t="shared" si="65"/>
        <v>3.2847433744855965</v>
      </c>
      <c r="N90" s="77">
        <f t="shared" si="65"/>
        <v>2.7929178247557953</v>
      </c>
      <c r="O90" s="77">
        <f t="shared" si="65"/>
        <v>2.39457792</v>
      </c>
      <c r="P90" s="77">
        <f t="shared" si="65"/>
        <v>2.068526439909297</v>
      </c>
      <c r="Q90" s="77">
        <f t="shared" si="65"/>
        <v>1.7990818332081142</v>
      </c>
      <c r="R90" s="77">
        <f t="shared" si="65"/>
        <v>1.5744738522232269</v>
      </c>
      <c r="S90" s="77">
        <f t="shared" si="65"/>
        <v>1.385751111111111</v>
      </c>
      <c r="T90" s="77">
        <f t="shared" si="65"/>
        <v>1.22602389504</v>
      </c>
      <c r="U90" s="77">
        <f t="shared" si="65"/>
        <v>1.089930778334092</v>
      </c>
      <c r="V90" s="77">
        <f t="shared" si="65"/>
        <v>0.9732572961438805</v>
      </c>
      <c r="W90" s="77">
        <f t="shared" si="65"/>
        <v>0.8726595918367347</v>
      </c>
      <c r="X90" s="77">
        <f t="shared" si="65"/>
        <v>0.7854616163024314</v>
      </c>
      <c r="Y90" s="78">
        <f t="shared" si="65"/>
        <v>0.7095045688888889</v>
      </c>
    </row>
    <row r="91" spans="1:25" s="8" customFormat="1" ht="15.75">
      <c r="A91" s="18"/>
      <c r="D91" s="51"/>
      <c r="E91" s="51"/>
      <c r="F91" s="51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1:25" s="8" customFormat="1" ht="15.75" hidden="1" outlineLevel="1">
      <c r="A92" s="18"/>
      <c r="D92" s="51"/>
      <c r="E92" s="51"/>
      <c r="F92" s="51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1:25" s="8" customFormat="1" ht="15.75" collapsed="1">
      <c r="A93" s="10"/>
      <c r="D93" s="51"/>
      <c r="E93" s="51"/>
      <c r="F93" s="51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1:25" s="8" customFormat="1" ht="15.75">
      <c r="A94" s="10"/>
      <c r="D94" s="51"/>
      <c r="E94" s="51"/>
      <c r="F94" s="51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1:25" s="13" customFormat="1" ht="18" customHeight="1" thickBot="1">
      <c r="A95" s="12"/>
      <c r="B95" s="12" t="s">
        <v>13</v>
      </c>
      <c r="C95" s="12" t="s">
        <v>14</v>
      </c>
      <c r="D95" s="65" t="s">
        <v>15</v>
      </c>
      <c r="E95" s="65" t="s">
        <v>34</v>
      </c>
      <c r="F95" s="83" t="s">
        <v>16</v>
      </c>
      <c r="G95" s="84">
        <f aca="true" t="shared" si="66" ref="G95:Y95">G15</f>
        <v>3</v>
      </c>
      <c r="H95" s="84">
        <f t="shared" si="66"/>
        <v>3.25</v>
      </c>
      <c r="I95" s="84">
        <f t="shared" si="66"/>
        <v>3.5</v>
      </c>
      <c r="J95" s="84">
        <f t="shared" si="66"/>
        <v>3.75</v>
      </c>
      <c r="K95" s="84">
        <f t="shared" si="66"/>
        <v>4</v>
      </c>
      <c r="L95" s="84">
        <f t="shared" si="66"/>
        <v>4.25</v>
      </c>
      <c r="M95" s="84">
        <f t="shared" si="66"/>
        <v>4.5</v>
      </c>
      <c r="N95" s="84">
        <f t="shared" si="66"/>
        <v>4.75</v>
      </c>
      <c r="O95" s="84">
        <f t="shared" si="66"/>
        <v>5</v>
      </c>
      <c r="P95" s="84">
        <f t="shared" si="66"/>
        <v>5.25</v>
      </c>
      <c r="Q95" s="84">
        <f t="shared" si="66"/>
        <v>5.5</v>
      </c>
      <c r="R95" s="84">
        <f t="shared" si="66"/>
        <v>5.75</v>
      </c>
      <c r="S95" s="84">
        <f t="shared" si="66"/>
        <v>6</v>
      </c>
      <c r="T95" s="84">
        <f t="shared" si="66"/>
        <v>6.25</v>
      </c>
      <c r="U95" s="84">
        <f t="shared" si="66"/>
        <v>6.5</v>
      </c>
      <c r="V95" s="84">
        <f t="shared" si="66"/>
        <v>6.75</v>
      </c>
      <c r="W95" s="84">
        <f t="shared" si="66"/>
        <v>7</v>
      </c>
      <c r="X95" s="84">
        <f t="shared" si="66"/>
        <v>7.25</v>
      </c>
      <c r="Y95" s="68">
        <f t="shared" si="66"/>
        <v>7.5</v>
      </c>
    </row>
    <row r="96" spans="1:25" ht="15" customHeight="1" hidden="1" outlineLevel="1">
      <c r="A96" s="14"/>
      <c r="B96" s="8"/>
      <c r="D96" s="69"/>
      <c r="E96" s="69"/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2"/>
    </row>
    <row r="97" spans="1:25" ht="15" customHeight="1" hidden="1" outlineLevel="1">
      <c r="A97" s="14"/>
      <c r="B97" s="8"/>
      <c r="D97" s="69"/>
      <c r="E97" s="69"/>
      <c r="F97" s="70" t="s">
        <v>20</v>
      </c>
      <c r="G97" s="71">
        <f aca="true" t="shared" si="67" ref="G97:Y97">G$38^2/10</f>
        <v>0.9</v>
      </c>
      <c r="H97" s="71">
        <f t="shared" si="67"/>
        <v>1.05625</v>
      </c>
      <c r="I97" s="71">
        <f t="shared" si="67"/>
        <v>1.225</v>
      </c>
      <c r="J97" s="71">
        <f t="shared" si="67"/>
        <v>1.40625</v>
      </c>
      <c r="K97" s="71">
        <f t="shared" si="67"/>
        <v>1.6</v>
      </c>
      <c r="L97" s="71">
        <f t="shared" si="67"/>
        <v>1.80625</v>
      </c>
      <c r="M97" s="71">
        <f t="shared" si="67"/>
        <v>2.025</v>
      </c>
      <c r="N97" s="71">
        <f t="shared" si="67"/>
        <v>2.25625</v>
      </c>
      <c r="O97" s="71">
        <f t="shared" si="67"/>
        <v>2.5</v>
      </c>
      <c r="P97" s="71">
        <f t="shared" si="67"/>
        <v>2.75625</v>
      </c>
      <c r="Q97" s="71">
        <f t="shared" si="67"/>
        <v>3.025</v>
      </c>
      <c r="R97" s="71">
        <f t="shared" si="67"/>
        <v>3.30625</v>
      </c>
      <c r="S97" s="71">
        <f t="shared" si="67"/>
        <v>3.6</v>
      </c>
      <c r="T97" s="71">
        <f t="shared" si="67"/>
        <v>3.90625</v>
      </c>
      <c r="U97" s="71">
        <f t="shared" si="67"/>
        <v>4.225</v>
      </c>
      <c r="V97" s="71">
        <f t="shared" si="67"/>
        <v>4.55625</v>
      </c>
      <c r="W97" s="71">
        <f t="shared" si="67"/>
        <v>4.9</v>
      </c>
      <c r="X97" s="71">
        <f t="shared" si="67"/>
        <v>5.25625</v>
      </c>
      <c r="Y97" s="72">
        <f t="shared" si="67"/>
        <v>5.625</v>
      </c>
    </row>
    <row r="98" spans="1:25" ht="15" customHeight="1" hidden="1" outlineLevel="1">
      <c r="A98" s="14"/>
      <c r="B98" s="8"/>
      <c r="D98" s="69"/>
      <c r="E98" s="69"/>
      <c r="F98" s="70" t="s">
        <v>21</v>
      </c>
      <c r="G98" s="71">
        <f aca="true" t="shared" si="68" ref="G98:Y98">IF(G$38&lt;$M$4,IF(G$38&lt;$M$3,$N$3*G$97,($N$3+0.095*(G$38-$M$3)/1.25)*G$97),IF(G$38&gt;6,0.9*G$97,(0.86+0.04*(G$38-$M$4)/1.35)*G$97))</f>
        <v>0.6885</v>
      </c>
      <c r="H98" s="71">
        <f t="shared" si="68"/>
        <v>0.80803125</v>
      </c>
      <c r="I98" s="71">
        <f t="shared" si="68"/>
        <v>0.9464350000000001</v>
      </c>
      <c r="J98" s="71">
        <f t="shared" si="68"/>
        <v>1.1131875</v>
      </c>
      <c r="K98" s="71">
        <f t="shared" si="68"/>
        <v>1.2969600000000001</v>
      </c>
      <c r="L98" s="71">
        <f t="shared" si="68"/>
        <v>1.498465</v>
      </c>
      <c r="M98" s="71">
        <f t="shared" si="68"/>
        <v>1.718415</v>
      </c>
      <c r="N98" s="71">
        <f t="shared" si="68"/>
        <v>1.9470601851851852</v>
      </c>
      <c r="O98" s="71">
        <f t="shared" si="68"/>
        <v>2.175925925925926</v>
      </c>
      <c r="P98" s="71">
        <f t="shared" si="68"/>
        <v>2.419375</v>
      </c>
      <c r="Q98" s="71">
        <f t="shared" si="68"/>
        <v>2.6776851851851853</v>
      </c>
      <c r="R98" s="71">
        <f t="shared" si="68"/>
        <v>2.951134259259259</v>
      </c>
      <c r="S98" s="71">
        <f t="shared" si="68"/>
        <v>3.24</v>
      </c>
      <c r="T98" s="71">
        <f t="shared" si="68"/>
        <v>3.515625</v>
      </c>
      <c r="U98" s="71">
        <f t="shared" si="68"/>
        <v>3.8024999999999998</v>
      </c>
      <c r="V98" s="71">
        <f t="shared" si="68"/>
        <v>4.100625000000001</v>
      </c>
      <c r="W98" s="71">
        <f t="shared" si="68"/>
        <v>4.41</v>
      </c>
      <c r="X98" s="71">
        <f t="shared" si="68"/>
        <v>4.730625</v>
      </c>
      <c r="Y98" s="72">
        <f t="shared" si="68"/>
        <v>5.0625</v>
      </c>
    </row>
    <row r="99" spans="1:25" ht="15" customHeight="1" hidden="1" outlineLevel="1">
      <c r="A99" s="14"/>
      <c r="B99" s="8"/>
      <c r="D99" s="69"/>
      <c r="E99" s="69"/>
      <c r="F99" s="70" t="s">
        <v>22</v>
      </c>
      <c r="G99" s="71">
        <f aca="true" t="shared" si="69" ref="G99:Y99">G$38/2-G98/G$38</f>
        <v>1.2705</v>
      </c>
      <c r="H99" s="71">
        <f t="shared" si="69"/>
        <v>1.376375</v>
      </c>
      <c r="I99" s="71">
        <f t="shared" si="69"/>
        <v>1.47959</v>
      </c>
      <c r="J99" s="71">
        <f t="shared" si="69"/>
        <v>1.57815</v>
      </c>
      <c r="K99" s="71">
        <f t="shared" si="69"/>
        <v>1.67576</v>
      </c>
      <c r="L99" s="71">
        <f t="shared" si="69"/>
        <v>1.7724199999999999</v>
      </c>
      <c r="M99" s="71">
        <f t="shared" si="69"/>
        <v>1.86813</v>
      </c>
      <c r="N99" s="71">
        <f t="shared" si="69"/>
        <v>1.9650925925925926</v>
      </c>
      <c r="O99" s="71">
        <f t="shared" si="69"/>
        <v>2.064814814814815</v>
      </c>
      <c r="P99" s="71">
        <f t="shared" si="69"/>
        <v>2.1641666666666666</v>
      </c>
      <c r="Q99" s="71">
        <f t="shared" si="69"/>
        <v>2.263148148148148</v>
      </c>
      <c r="R99" s="71">
        <f t="shared" si="69"/>
        <v>2.3617592592592596</v>
      </c>
      <c r="S99" s="71">
        <f t="shared" si="69"/>
        <v>2.46</v>
      </c>
      <c r="T99" s="71">
        <f t="shared" si="69"/>
        <v>2.5625</v>
      </c>
      <c r="U99" s="71">
        <f t="shared" si="69"/>
        <v>2.665</v>
      </c>
      <c r="V99" s="71">
        <f t="shared" si="69"/>
        <v>2.7675</v>
      </c>
      <c r="W99" s="71">
        <f t="shared" si="69"/>
        <v>2.87</v>
      </c>
      <c r="X99" s="71">
        <f t="shared" si="69"/>
        <v>2.9725</v>
      </c>
      <c r="Y99" s="72">
        <f t="shared" si="69"/>
        <v>3.075</v>
      </c>
    </row>
    <row r="100" spans="1:25" ht="15" customHeight="1" hidden="1" outlineLevel="1">
      <c r="A100" s="14"/>
      <c r="B100" s="8"/>
      <c r="D100" s="69"/>
      <c r="E100" s="69"/>
      <c r="F100" s="70" t="s">
        <v>23</v>
      </c>
      <c r="G100" s="71">
        <f>1.5*G$38-G99</f>
        <v>3.2295</v>
      </c>
      <c r="H100" s="71">
        <f aca="true" t="shared" si="70" ref="H100:Y100">2*(H$38-H99)</f>
        <v>3.74725</v>
      </c>
      <c r="I100" s="71">
        <f t="shared" si="70"/>
        <v>4.04082</v>
      </c>
      <c r="J100" s="71">
        <f t="shared" si="70"/>
        <v>4.3437</v>
      </c>
      <c r="K100" s="71">
        <f t="shared" si="70"/>
        <v>4.64848</v>
      </c>
      <c r="L100" s="71">
        <f t="shared" si="70"/>
        <v>4.95516</v>
      </c>
      <c r="M100" s="71">
        <f t="shared" si="70"/>
        <v>5.26374</v>
      </c>
      <c r="N100" s="71">
        <f t="shared" si="70"/>
        <v>5.569814814814815</v>
      </c>
      <c r="O100" s="71">
        <f t="shared" si="70"/>
        <v>5.87037037037037</v>
      </c>
      <c r="P100" s="71">
        <f t="shared" si="70"/>
        <v>6.171666666666667</v>
      </c>
      <c r="Q100" s="71">
        <f t="shared" si="70"/>
        <v>6.473703703703704</v>
      </c>
      <c r="R100" s="71">
        <f t="shared" si="70"/>
        <v>6.776481481481481</v>
      </c>
      <c r="S100" s="71">
        <f t="shared" si="70"/>
        <v>7.08</v>
      </c>
      <c r="T100" s="71">
        <f t="shared" si="70"/>
        <v>7.375</v>
      </c>
      <c r="U100" s="71">
        <f t="shared" si="70"/>
        <v>7.67</v>
      </c>
      <c r="V100" s="71">
        <f t="shared" si="70"/>
        <v>7.965</v>
      </c>
      <c r="W100" s="71">
        <f t="shared" si="70"/>
        <v>8.26</v>
      </c>
      <c r="X100" s="71">
        <f t="shared" si="70"/>
        <v>8.555</v>
      </c>
      <c r="Y100" s="72">
        <f t="shared" si="70"/>
        <v>8.85</v>
      </c>
    </row>
    <row r="101" spans="1:25" ht="15" customHeight="1" hidden="1" outlineLevel="1">
      <c r="A101" s="14"/>
      <c r="B101" s="8"/>
      <c r="D101" s="69"/>
      <c r="E101" s="69"/>
      <c r="F101" s="70" t="s">
        <v>24</v>
      </c>
      <c r="G101" s="71">
        <f aca="true" t="shared" si="71" ref="G101:Y101">$C102/G99</f>
        <v>4.591156858448497</v>
      </c>
      <c r="H101" s="71">
        <f t="shared" si="71"/>
        <v>4.237990946260151</v>
      </c>
      <c r="I101" s="71">
        <f t="shared" si="71"/>
        <v>3.9423521304272233</v>
      </c>
      <c r="J101" s="71">
        <f t="shared" si="71"/>
        <v>3.6961409173138264</v>
      </c>
      <c r="K101" s="71">
        <f t="shared" si="71"/>
        <v>3.48084736994487</v>
      </c>
      <c r="L101" s="71">
        <f t="shared" si="71"/>
        <v>3.2910172468482726</v>
      </c>
      <c r="M101" s="71">
        <f t="shared" si="71"/>
        <v>3.1224083916316396</v>
      </c>
      <c r="N101" s="71">
        <f t="shared" si="71"/>
        <v>2.96834093754489</v>
      </c>
      <c r="O101" s="71">
        <f t="shared" si="71"/>
        <v>2.8249820501127894</v>
      </c>
      <c r="P101" s="71">
        <f t="shared" si="71"/>
        <v>2.6952937028843196</v>
      </c>
      <c r="Q101" s="71">
        <f t="shared" si="71"/>
        <v>2.577411820534948</v>
      </c>
      <c r="R101" s="71">
        <f t="shared" si="71"/>
        <v>2.469796515368926</v>
      </c>
      <c r="S101" s="71">
        <f t="shared" si="71"/>
        <v>2.3711645482352908</v>
      </c>
      <c r="T101" s="71">
        <f t="shared" si="71"/>
        <v>2.276317966305879</v>
      </c>
      <c r="U101" s="71">
        <f t="shared" si="71"/>
        <v>2.1887672752941145</v>
      </c>
      <c r="V101" s="71">
        <f t="shared" si="71"/>
        <v>2.107701820653592</v>
      </c>
      <c r="W101" s="71">
        <f t="shared" si="71"/>
        <v>2.032426755630249</v>
      </c>
      <c r="X101" s="71">
        <f t="shared" si="71"/>
        <v>1.9623430744016197</v>
      </c>
      <c r="Y101" s="71">
        <f t="shared" si="71"/>
        <v>1.8969316385882324</v>
      </c>
    </row>
    <row r="102" spans="1:25" ht="15" customHeight="1" hidden="1" outlineLevel="1">
      <c r="A102" s="14"/>
      <c r="B102" s="8">
        <v>0.75</v>
      </c>
      <c r="C102" s="9">
        <f aca="true" t="shared" si="72" ref="C102:C107">C45</f>
        <v>5.833064788658815</v>
      </c>
      <c r="D102" s="69"/>
      <c r="E102" s="69"/>
      <c r="F102" s="70" t="s">
        <v>25</v>
      </c>
      <c r="G102" s="71">
        <f aca="true" t="shared" si="73" ref="G102:Y102">$B105*$B$6/G99^2*2/1000000</f>
        <v>7.5643117301423075</v>
      </c>
      <c r="H102" s="71">
        <f t="shared" si="73"/>
        <v>6.445330704973328</v>
      </c>
      <c r="I102" s="71">
        <f t="shared" si="73"/>
        <v>5.577453806104294</v>
      </c>
      <c r="J102" s="71">
        <f t="shared" si="73"/>
        <v>4.902551873012171</v>
      </c>
      <c r="K102" s="71">
        <f t="shared" si="73"/>
        <v>4.348055885871858</v>
      </c>
      <c r="L102" s="71">
        <f t="shared" si="73"/>
        <v>3.886739848474125</v>
      </c>
      <c r="M102" s="71">
        <f t="shared" si="73"/>
        <v>3.4986827789176482</v>
      </c>
      <c r="N102" s="71">
        <f t="shared" si="73"/>
        <v>3.161933411540998</v>
      </c>
      <c r="O102" s="71">
        <f t="shared" si="73"/>
        <v>2.8638913764779015</v>
      </c>
      <c r="P102" s="71">
        <f t="shared" si="73"/>
        <v>2.6069779008644502</v>
      </c>
      <c r="Q102" s="71">
        <f t="shared" si="73"/>
        <v>2.383926099217449</v>
      </c>
      <c r="R102" s="71">
        <f t="shared" si="73"/>
        <v>2.189008780027367</v>
      </c>
      <c r="S102" s="71">
        <f t="shared" si="73"/>
        <v>2.0176625944414273</v>
      </c>
      <c r="T102" s="71">
        <f t="shared" si="73"/>
        <v>1.8594778470372193</v>
      </c>
      <c r="U102" s="71">
        <f t="shared" si="73"/>
        <v>1.7191917964471333</v>
      </c>
      <c r="V102" s="71">
        <f t="shared" si="73"/>
        <v>1.594202543756189</v>
      </c>
      <c r="W102" s="71">
        <f t="shared" si="73"/>
        <v>1.482364355099824</v>
      </c>
      <c r="X102" s="71">
        <f t="shared" si="73"/>
        <v>1.3818949517220713</v>
      </c>
      <c r="Y102" s="72">
        <f t="shared" si="73"/>
        <v>1.291304060442513</v>
      </c>
    </row>
    <row r="103" spans="3:25" ht="15" customHeight="1" hidden="1" outlineLevel="1">
      <c r="C103" s="9">
        <f t="shared" si="72"/>
        <v>27.203364874620274</v>
      </c>
      <c r="D103" s="69"/>
      <c r="E103" s="69"/>
      <c r="F103" s="70" t="s">
        <v>26</v>
      </c>
      <c r="G103" s="71">
        <f aca="true" t="shared" si="74" ref="G103:Y103">1.27/(G98*1000000/($B106*$B$6)+0.5*G100/$C103)</f>
        <v>7.656001974600742</v>
      </c>
      <c r="H103" s="71">
        <f t="shared" si="74"/>
        <v>6.550003014823755</v>
      </c>
      <c r="I103" s="71">
        <f t="shared" si="74"/>
        <v>5.754348507903301</v>
      </c>
      <c r="J103" s="71">
        <f t="shared" si="74"/>
        <v>5.0382930477687395</v>
      </c>
      <c r="K103" s="71">
        <f t="shared" si="74"/>
        <v>4.438936121036775</v>
      </c>
      <c r="L103" s="71">
        <f t="shared" si="74"/>
        <v>3.932884914204688</v>
      </c>
      <c r="M103" s="71">
        <f t="shared" si="74"/>
        <v>3.502284303288965</v>
      </c>
      <c r="N103" s="71">
        <f t="shared" si="74"/>
        <v>3.146507965829855</v>
      </c>
      <c r="O103" s="71">
        <f t="shared" si="74"/>
        <v>2.8567809744527506</v>
      </c>
      <c r="P103" s="71">
        <f t="shared" si="74"/>
        <v>2.603736846578095</v>
      </c>
      <c r="Q103" s="71">
        <f t="shared" si="74"/>
        <v>2.38149875964312</v>
      </c>
      <c r="R103" s="71">
        <f t="shared" si="74"/>
        <v>2.1853197970073257</v>
      </c>
      <c r="S103" s="71">
        <f t="shared" si="74"/>
        <v>2.0113314518324534</v>
      </c>
      <c r="T103" s="71">
        <f t="shared" si="74"/>
        <v>1.869050903173143</v>
      </c>
      <c r="U103" s="71">
        <f t="shared" si="74"/>
        <v>1.7414040572529697</v>
      </c>
      <c r="V103" s="71">
        <f t="shared" si="74"/>
        <v>1.6264442375080386</v>
      </c>
      <c r="W103" s="71">
        <f t="shared" si="74"/>
        <v>1.522539002377438</v>
      </c>
      <c r="X103" s="71">
        <f t="shared" si="74"/>
        <v>1.4283110148234812</v>
      </c>
      <c r="Y103" s="72">
        <f t="shared" si="74"/>
        <v>1.342591530706027</v>
      </c>
    </row>
    <row r="104" spans="3:25" ht="15" customHeight="1" collapsed="1">
      <c r="C104" s="9">
        <f t="shared" si="72"/>
        <v>22.6164609202305</v>
      </c>
      <c r="D104" s="122">
        <f>B102</f>
        <v>0.75</v>
      </c>
      <c r="E104" s="119">
        <v>8.84</v>
      </c>
      <c r="F104" s="70" t="s">
        <v>38</v>
      </c>
      <c r="G104" s="71">
        <f aca="true" t="shared" si="75" ref="G104:Y104">MIN(G101,G102,G103)</f>
        <v>4.591156858448497</v>
      </c>
      <c r="H104" s="71">
        <f t="shared" si="75"/>
        <v>4.237990946260151</v>
      </c>
      <c r="I104" s="71">
        <f t="shared" si="75"/>
        <v>3.9423521304272233</v>
      </c>
      <c r="J104" s="71">
        <f t="shared" si="75"/>
        <v>3.6961409173138264</v>
      </c>
      <c r="K104" s="71">
        <f t="shared" si="75"/>
        <v>3.48084736994487</v>
      </c>
      <c r="L104" s="71">
        <f t="shared" si="75"/>
        <v>3.2910172468482726</v>
      </c>
      <c r="M104" s="71">
        <f t="shared" si="75"/>
        <v>3.1224083916316396</v>
      </c>
      <c r="N104" s="71">
        <f t="shared" si="75"/>
        <v>2.96834093754489</v>
      </c>
      <c r="O104" s="71">
        <f t="shared" si="75"/>
        <v>2.8249820501127894</v>
      </c>
      <c r="P104" s="71">
        <f t="shared" si="75"/>
        <v>2.603736846578095</v>
      </c>
      <c r="Q104" s="71">
        <f t="shared" si="75"/>
        <v>2.38149875964312</v>
      </c>
      <c r="R104" s="71">
        <f t="shared" si="75"/>
        <v>2.1853197970073257</v>
      </c>
      <c r="S104" s="71">
        <f t="shared" si="75"/>
        <v>2.0113314518324534</v>
      </c>
      <c r="T104" s="71">
        <f t="shared" si="75"/>
        <v>1.8594778470372193</v>
      </c>
      <c r="U104" s="71">
        <f t="shared" si="75"/>
        <v>1.7191917964471333</v>
      </c>
      <c r="V104" s="71">
        <f t="shared" si="75"/>
        <v>1.594202543756189</v>
      </c>
      <c r="W104" s="71">
        <f t="shared" si="75"/>
        <v>1.482364355099824</v>
      </c>
      <c r="X104" s="71">
        <f t="shared" si="75"/>
        <v>1.3818949517220713</v>
      </c>
      <c r="Y104" s="72">
        <f t="shared" si="75"/>
        <v>1.291304060442513</v>
      </c>
    </row>
    <row r="105" spans="1:25" ht="15" customHeight="1" hidden="1" outlineLevel="1">
      <c r="A105" s="15" t="s">
        <v>1</v>
      </c>
      <c r="B105" s="8">
        <f>C$2</f>
        <v>21940</v>
      </c>
      <c r="C105" s="9">
        <f t="shared" si="72"/>
        <v>0</v>
      </c>
      <c r="D105" s="120"/>
      <c r="E105" s="120"/>
      <c r="F105" s="70" t="s">
        <v>27</v>
      </c>
      <c r="G105" s="71">
        <f aca="true" t="shared" si="76" ref="G105:Y105">IF(G$38&lt;$P$4,IF(G$38&lt;$P$3,$Q$3*G$97,($Q$3+($Q$4-$Q$3)*(G$38-$P$3)/($P$4-$P$3))*G$97),IF(G$38&gt;6,0.9*G$97,($Q$4+(0.9-$Q$4)*(G$38-$P$4)/($P$5-$P$4))*G$97))</f>
        <v>0.666</v>
      </c>
      <c r="H105" s="71">
        <f t="shared" si="76"/>
        <v>0.7816249999999999</v>
      </c>
      <c r="I105" s="71">
        <f t="shared" si="76"/>
        <v>0.9065000000000001</v>
      </c>
      <c r="J105" s="71">
        <f t="shared" si="76"/>
        <v>1.07138671875</v>
      </c>
      <c r="K105" s="71">
        <f t="shared" si="76"/>
        <v>1.254</v>
      </c>
      <c r="L105" s="71">
        <f t="shared" si="76"/>
        <v>1.4551601562499998</v>
      </c>
      <c r="M105" s="71">
        <f t="shared" si="76"/>
        <v>1.6756874999999998</v>
      </c>
      <c r="N105" s="71">
        <f t="shared" si="76"/>
        <v>1.9113040865384616</v>
      </c>
      <c r="O105" s="71">
        <f t="shared" si="76"/>
        <v>2.144230769230769</v>
      </c>
      <c r="P105" s="71">
        <f t="shared" si="76"/>
        <v>2.3931670673076924</v>
      </c>
      <c r="Q105" s="71">
        <f t="shared" si="76"/>
        <v>2.6585096153846153</v>
      </c>
      <c r="R105" s="71">
        <f t="shared" si="76"/>
        <v>2.9406550480769234</v>
      </c>
      <c r="S105" s="71">
        <f t="shared" si="76"/>
        <v>3.24</v>
      </c>
      <c r="T105" s="71">
        <f t="shared" si="76"/>
        <v>3.515625</v>
      </c>
      <c r="U105" s="71">
        <f t="shared" si="76"/>
        <v>3.8024999999999998</v>
      </c>
      <c r="V105" s="71">
        <f t="shared" si="76"/>
        <v>4.100625000000001</v>
      </c>
      <c r="W105" s="71">
        <f t="shared" si="76"/>
        <v>4.41</v>
      </c>
      <c r="X105" s="71">
        <f t="shared" si="76"/>
        <v>4.730625</v>
      </c>
      <c r="Y105" s="72">
        <f t="shared" si="76"/>
        <v>5.0625</v>
      </c>
    </row>
    <row r="106" spans="1:25" ht="15" customHeight="1" hidden="1" outlineLevel="1">
      <c r="A106" s="15" t="s">
        <v>2</v>
      </c>
      <c r="B106" s="9">
        <f>D$2</f>
        <v>23227.5</v>
      </c>
      <c r="C106" s="9">
        <f t="shared" si="72"/>
        <v>0</v>
      </c>
      <c r="D106" s="120"/>
      <c r="E106" s="120"/>
      <c r="F106" s="70" t="s">
        <v>22</v>
      </c>
      <c r="G106" s="71">
        <f aca="true" t="shared" si="77" ref="G106:Y106">G$38/2-G105/G$38</f>
        <v>1.278</v>
      </c>
      <c r="H106" s="71">
        <f t="shared" si="77"/>
        <v>1.3845</v>
      </c>
      <c r="I106" s="71">
        <f t="shared" si="77"/>
        <v>1.491</v>
      </c>
      <c r="J106" s="71">
        <f t="shared" si="77"/>
        <v>1.589296875</v>
      </c>
      <c r="K106" s="71">
        <f t="shared" si="77"/>
        <v>1.6865</v>
      </c>
      <c r="L106" s="71">
        <f t="shared" si="77"/>
        <v>1.782609375</v>
      </c>
      <c r="M106" s="71">
        <f t="shared" si="77"/>
        <v>1.877625</v>
      </c>
      <c r="N106" s="71">
        <f t="shared" si="77"/>
        <v>1.9726201923076923</v>
      </c>
      <c r="O106" s="71">
        <f t="shared" si="77"/>
        <v>2.0711538461538463</v>
      </c>
      <c r="P106" s="71">
        <f t="shared" si="77"/>
        <v>2.169158653846154</v>
      </c>
      <c r="Q106" s="71">
        <f t="shared" si="77"/>
        <v>2.2666346153846155</v>
      </c>
      <c r="R106" s="71">
        <f t="shared" si="77"/>
        <v>2.363581730769231</v>
      </c>
      <c r="S106" s="71">
        <f t="shared" si="77"/>
        <v>2.46</v>
      </c>
      <c r="T106" s="71">
        <f t="shared" si="77"/>
        <v>2.5625</v>
      </c>
      <c r="U106" s="71">
        <f t="shared" si="77"/>
        <v>2.665</v>
      </c>
      <c r="V106" s="71">
        <f t="shared" si="77"/>
        <v>2.7675</v>
      </c>
      <c r="W106" s="71">
        <f t="shared" si="77"/>
        <v>2.87</v>
      </c>
      <c r="X106" s="71">
        <f t="shared" si="77"/>
        <v>2.9725</v>
      </c>
      <c r="Y106" s="72">
        <f t="shared" si="77"/>
        <v>3.075</v>
      </c>
    </row>
    <row r="107" spans="1:25" ht="15" customHeight="1" hidden="1" outlineLevel="1">
      <c r="A107" s="8" t="s">
        <v>3</v>
      </c>
      <c r="B107" s="8">
        <f>E$2</f>
        <v>1670000</v>
      </c>
      <c r="C107" s="9">
        <f t="shared" si="72"/>
        <v>0</v>
      </c>
      <c r="D107" s="120"/>
      <c r="E107" s="120"/>
      <c r="F107" s="70" t="s">
        <v>23</v>
      </c>
      <c r="G107" s="71">
        <f aca="true" t="shared" si="78" ref="G107:Y107">2*(G$38-G106)</f>
        <v>3.444</v>
      </c>
      <c r="H107" s="71">
        <f t="shared" si="78"/>
        <v>3.731</v>
      </c>
      <c r="I107" s="71">
        <f t="shared" si="78"/>
        <v>4.018</v>
      </c>
      <c r="J107" s="71">
        <f t="shared" si="78"/>
        <v>4.32140625</v>
      </c>
      <c r="K107" s="71">
        <f t="shared" si="78"/>
        <v>4.627</v>
      </c>
      <c r="L107" s="71">
        <f t="shared" si="78"/>
        <v>4.93478125</v>
      </c>
      <c r="M107" s="71">
        <f t="shared" si="78"/>
        <v>5.24475</v>
      </c>
      <c r="N107" s="71">
        <f t="shared" si="78"/>
        <v>5.554759615384615</v>
      </c>
      <c r="O107" s="71">
        <f t="shared" si="78"/>
        <v>5.857692307692307</v>
      </c>
      <c r="P107" s="71">
        <f t="shared" si="78"/>
        <v>6.161682692307692</v>
      </c>
      <c r="Q107" s="71">
        <f t="shared" si="78"/>
        <v>6.466730769230769</v>
      </c>
      <c r="R107" s="71">
        <f t="shared" si="78"/>
        <v>6.772836538461538</v>
      </c>
      <c r="S107" s="71">
        <f t="shared" si="78"/>
        <v>7.08</v>
      </c>
      <c r="T107" s="71">
        <f t="shared" si="78"/>
        <v>7.375</v>
      </c>
      <c r="U107" s="71">
        <f t="shared" si="78"/>
        <v>7.67</v>
      </c>
      <c r="V107" s="71">
        <f t="shared" si="78"/>
        <v>7.965</v>
      </c>
      <c r="W107" s="71">
        <f t="shared" si="78"/>
        <v>8.26</v>
      </c>
      <c r="X107" s="71">
        <f t="shared" si="78"/>
        <v>8.555</v>
      </c>
      <c r="Y107" s="72">
        <f t="shared" si="78"/>
        <v>8.85</v>
      </c>
    </row>
    <row r="108" spans="1:25" ht="15" customHeight="1" hidden="1" outlineLevel="1">
      <c r="A108" s="8"/>
      <c r="B108" s="8"/>
      <c r="D108" s="120"/>
      <c r="E108" s="120"/>
      <c r="F108" s="70" t="s">
        <v>24</v>
      </c>
      <c r="G108" s="71">
        <f aca="true" t="shared" si="79" ref="G108:Y108">$C102/G106</f>
        <v>4.564213449654785</v>
      </c>
      <c r="H108" s="71">
        <f t="shared" si="79"/>
        <v>4.213120107373648</v>
      </c>
      <c r="I108" s="71">
        <f t="shared" si="79"/>
        <v>3.912182956846958</v>
      </c>
      <c r="J108" s="71">
        <f t="shared" si="79"/>
        <v>3.670217239091227</v>
      </c>
      <c r="K108" s="71">
        <f t="shared" si="79"/>
        <v>3.4586805743604</v>
      </c>
      <c r="L108" s="71">
        <f t="shared" si="79"/>
        <v>3.2722058295350402</v>
      </c>
      <c r="M108" s="71">
        <f t="shared" si="79"/>
        <v>3.106618621215</v>
      </c>
      <c r="N108" s="71">
        <f t="shared" si="79"/>
        <v>2.957013626548625</v>
      </c>
      <c r="O108" s="71">
        <f t="shared" si="79"/>
        <v>2.81633583110732</v>
      </c>
      <c r="P108" s="71">
        <f t="shared" si="79"/>
        <v>2.68909089628652</v>
      </c>
      <c r="Q108" s="71">
        <f t="shared" si="79"/>
        <v>2.5734473254168613</v>
      </c>
      <c r="R108" s="71">
        <f t="shared" si="79"/>
        <v>2.467892145519519</v>
      </c>
      <c r="S108" s="71">
        <f t="shared" si="79"/>
        <v>2.3711645482352908</v>
      </c>
      <c r="T108" s="71">
        <f t="shared" si="79"/>
        <v>2.276317966305879</v>
      </c>
      <c r="U108" s="71">
        <f t="shared" si="79"/>
        <v>2.1887672752941145</v>
      </c>
      <c r="V108" s="71">
        <f t="shared" si="79"/>
        <v>2.107701820653592</v>
      </c>
      <c r="W108" s="71">
        <f t="shared" si="79"/>
        <v>2.032426755630249</v>
      </c>
      <c r="X108" s="71">
        <f t="shared" si="79"/>
        <v>1.9623430744016197</v>
      </c>
      <c r="Y108" s="71">
        <f t="shared" si="79"/>
        <v>1.8969316385882324</v>
      </c>
    </row>
    <row r="109" spans="1:25" ht="15" customHeight="1" hidden="1" outlineLevel="1">
      <c r="A109" s="8" t="s">
        <v>28</v>
      </c>
      <c r="B109" s="17">
        <f>F$2</f>
        <v>1165000</v>
      </c>
      <c r="C109" s="9">
        <f aca="true" t="shared" si="80" ref="C109:C114">C52</f>
        <v>0</v>
      </c>
      <c r="D109" s="120"/>
      <c r="E109" s="120"/>
      <c r="F109" s="70" t="s">
        <v>25</v>
      </c>
      <c r="G109" s="71">
        <f aca="true" t="shared" si="81" ref="G109:Y109">$B105*$B$6/G106^2*2/1000000</f>
        <v>7.475789242116949</v>
      </c>
      <c r="H109" s="71">
        <f t="shared" si="81"/>
        <v>6.36990325955527</v>
      </c>
      <c r="I109" s="71">
        <f t="shared" si="81"/>
        <v>5.492416586045105</v>
      </c>
      <c r="J109" s="71">
        <f t="shared" si="81"/>
        <v>4.834022839126756</v>
      </c>
      <c r="K109" s="71">
        <f t="shared" si="81"/>
        <v>4.292853480529838</v>
      </c>
      <c r="L109" s="71">
        <f t="shared" si="81"/>
        <v>3.842433716169461</v>
      </c>
      <c r="M109" s="71">
        <f t="shared" si="81"/>
        <v>3.4633871287668643</v>
      </c>
      <c r="N109" s="71">
        <f t="shared" si="81"/>
        <v>3.137847320486947</v>
      </c>
      <c r="O109" s="71">
        <f t="shared" si="81"/>
        <v>2.8463875918642247</v>
      </c>
      <c r="P109" s="71">
        <f t="shared" si="81"/>
        <v>2.594992585388525</v>
      </c>
      <c r="Q109" s="71">
        <f t="shared" si="81"/>
        <v>2.376597976765038</v>
      </c>
      <c r="R109" s="71">
        <f t="shared" si="81"/>
        <v>2.185634352105446</v>
      </c>
      <c r="S109" s="71">
        <f t="shared" si="81"/>
        <v>2.0176625944414273</v>
      </c>
      <c r="T109" s="71">
        <f t="shared" si="81"/>
        <v>1.8594778470372193</v>
      </c>
      <c r="U109" s="71">
        <f t="shared" si="81"/>
        <v>1.7191917964471333</v>
      </c>
      <c r="V109" s="71">
        <f t="shared" si="81"/>
        <v>1.594202543756189</v>
      </c>
      <c r="W109" s="71">
        <f t="shared" si="81"/>
        <v>1.482364355099824</v>
      </c>
      <c r="X109" s="71">
        <f t="shared" si="81"/>
        <v>1.3818949517220713</v>
      </c>
      <c r="Y109" s="72">
        <f t="shared" si="81"/>
        <v>1.291304060442513</v>
      </c>
    </row>
    <row r="110" spans="1:25" ht="15" customHeight="1" hidden="1" outlineLevel="1">
      <c r="A110" s="9" t="s">
        <v>29</v>
      </c>
      <c r="B110" s="19">
        <f>0.65*B107+0.35*B109</f>
        <v>1493250</v>
      </c>
      <c r="C110" s="9">
        <f t="shared" si="80"/>
        <v>0</v>
      </c>
      <c r="D110" s="120"/>
      <c r="E110" s="120"/>
      <c r="F110" s="70" t="s">
        <v>26</v>
      </c>
      <c r="G110" s="71">
        <f aca="true" t="shared" si="82" ref="G110:Y110">1.27/(G105*1000000/($B106*$B$6)+0.5*G107/$C104)</f>
        <v>7.087745685647076</v>
      </c>
      <c r="H110" s="71">
        <f t="shared" si="82"/>
        <v>6.243335928738441</v>
      </c>
      <c r="I110" s="71">
        <f t="shared" si="82"/>
        <v>5.5438556830483865</v>
      </c>
      <c r="J110" s="71">
        <f t="shared" si="82"/>
        <v>4.860289726065999</v>
      </c>
      <c r="K110" s="71">
        <f t="shared" si="82"/>
        <v>4.286035053707176</v>
      </c>
      <c r="L110" s="71">
        <f t="shared" si="82"/>
        <v>3.799676933211304</v>
      </c>
      <c r="M110" s="71">
        <f t="shared" si="82"/>
        <v>3.3847569954477637</v>
      </c>
      <c r="N110" s="71">
        <f t="shared" si="82"/>
        <v>3.0345046285266837</v>
      </c>
      <c r="O110" s="71">
        <f t="shared" si="82"/>
        <v>2.753356422807219</v>
      </c>
      <c r="P110" s="71">
        <f t="shared" si="82"/>
        <v>2.507447823170466</v>
      </c>
      <c r="Q110" s="71">
        <f t="shared" si="82"/>
        <v>2.2912246255528794</v>
      </c>
      <c r="R110" s="71">
        <f t="shared" si="82"/>
        <v>2.1001820151349695</v>
      </c>
      <c r="S110" s="71">
        <f t="shared" si="82"/>
        <v>1.9306347690404753</v>
      </c>
      <c r="T110" s="71">
        <f t="shared" si="82"/>
        <v>1.7963704360543176</v>
      </c>
      <c r="U110" s="71">
        <f t="shared" si="82"/>
        <v>1.6757090757753212</v>
      </c>
      <c r="V110" s="71">
        <f t="shared" si="82"/>
        <v>1.566864966463432</v>
      </c>
      <c r="W110" s="71">
        <f t="shared" si="82"/>
        <v>1.46833729581017</v>
      </c>
      <c r="X110" s="71">
        <f t="shared" si="82"/>
        <v>1.3788570956849322</v>
      </c>
      <c r="Y110" s="72">
        <f t="shared" si="82"/>
        <v>1.2973453998746842</v>
      </c>
    </row>
    <row r="111" spans="3:25" s="16" customFormat="1" ht="15" customHeight="1" collapsed="1">
      <c r="C111" s="9">
        <f t="shared" si="80"/>
        <v>0</v>
      </c>
      <c r="D111" s="120"/>
      <c r="E111" s="120"/>
      <c r="F111" s="73" t="s">
        <v>39</v>
      </c>
      <c r="G111" s="74">
        <f aca="true" t="shared" si="83" ref="G111:Y111">MIN(G108,G109,G110)</f>
        <v>4.564213449654785</v>
      </c>
      <c r="H111" s="74">
        <f t="shared" si="83"/>
        <v>4.213120107373648</v>
      </c>
      <c r="I111" s="74">
        <f t="shared" si="83"/>
        <v>3.912182956846958</v>
      </c>
      <c r="J111" s="74">
        <f t="shared" si="83"/>
        <v>3.670217239091227</v>
      </c>
      <c r="K111" s="74">
        <f t="shared" si="83"/>
        <v>3.4586805743604</v>
      </c>
      <c r="L111" s="74">
        <f t="shared" si="83"/>
        <v>3.2722058295350402</v>
      </c>
      <c r="M111" s="74">
        <f t="shared" si="83"/>
        <v>3.106618621215</v>
      </c>
      <c r="N111" s="74">
        <f t="shared" si="83"/>
        <v>2.957013626548625</v>
      </c>
      <c r="O111" s="74">
        <f t="shared" si="83"/>
        <v>2.753356422807219</v>
      </c>
      <c r="P111" s="74">
        <f t="shared" si="83"/>
        <v>2.507447823170466</v>
      </c>
      <c r="Q111" s="74">
        <f t="shared" si="83"/>
        <v>2.2912246255528794</v>
      </c>
      <c r="R111" s="74">
        <f t="shared" si="83"/>
        <v>2.1001820151349695</v>
      </c>
      <c r="S111" s="74">
        <f t="shared" si="83"/>
        <v>1.9306347690404753</v>
      </c>
      <c r="T111" s="74">
        <f t="shared" si="83"/>
        <v>1.7963704360543176</v>
      </c>
      <c r="U111" s="74">
        <f t="shared" si="83"/>
        <v>1.6757090757753212</v>
      </c>
      <c r="V111" s="74">
        <f t="shared" si="83"/>
        <v>1.566864966463432</v>
      </c>
      <c r="W111" s="74">
        <f t="shared" si="83"/>
        <v>1.46833729581017</v>
      </c>
      <c r="X111" s="74">
        <f t="shared" si="83"/>
        <v>1.3788570956849322</v>
      </c>
      <c r="Y111" s="74">
        <f t="shared" si="83"/>
        <v>1.291304060442513</v>
      </c>
    </row>
    <row r="112" spans="3:25" s="8" customFormat="1" ht="15" customHeight="1">
      <c r="C112" s="9">
        <f t="shared" si="80"/>
        <v>0</v>
      </c>
      <c r="D112" s="120"/>
      <c r="E112" s="120"/>
      <c r="F112" s="70" t="s">
        <v>36</v>
      </c>
      <c r="G112" s="71">
        <f aca="true" t="shared" si="84" ref="G112:Y112">145*$B$7*$B110/(G$15*1000)^3/$B$11</f>
        <v>11.227027777777778</v>
      </c>
      <c r="H112" s="71">
        <f t="shared" si="84"/>
        <v>8.830361401911697</v>
      </c>
      <c r="I112" s="71">
        <f t="shared" si="84"/>
        <v>7.070081632653061</v>
      </c>
      <c r="J112" s="71">
        <f t="shared" si="84"/>
        <v>5.748238222222222</v>
      </c>
      <c r="K112" s="71">
        <f t="shared" si="84"/>
        <v>4.73640234375</v>
      </c>
      <c r="L112" s="71">
        <f t="shared" si="84"/>
        <v>3.9487693873397114</v>
      </c>
      <c r="M112" s="71">
        <f t="shared" si="84"/>
        <v>3.3265267489711934</v>
      </c>
      <c r="N112" s="71">
        <f t="shared" si="84"/>
        <v>2.828444962822569</v>
      </c>
      <c r="O112" s="71">
        <f t="shared" si="84"/>
        <v>2.425038</v>
      </c>
      <c r="P112" s="71">
        <f t="shared" si="84"/>
        <v>2.0948390022675736</v>
      </c>
      <c r="Q112" s="71">
        <f t="shared" si="84"/>
        <v>1.8219669421487603</v>
      </c>
      <c r="R112" s="71">
        <f t="shared" si="84"/>
        <v>1.5945018492644036</v>
      </c>
      <c r="S112" s="71">
        <f t="shared" si="84"/>
        <v>1.4033784722222222</v>
      </c>
      <c r="T112" s="71">
        <f t="shared" si="84"/>
        <v>1.241619456</v>
      </c>
      <c r="U112" s="71">
        <f t="shared" si="84"/>
        <v>1.103795175238962</v>
      </c>
      <c r="V112" s="71">
        <f t="shared" si="84"/>
        <v>0.9856375552507239</v>
      </c>
      <c r="W112" s="71">
        <f t="shared" si="84"/>
        <v>0.8837602040816326</v>
      </c>
      <c r="X112" s="71">
        <f t="shared" si="84"/>
        <v>0.7954530321046374</v>
      </c>
      <c r="Y112" s="72">
        <f t="shared" si="84"/>
        <v>0.7185297777777777</v>
      </c>
    </row>
    <row r="113" spans="3:25" s="11" customFormat="1" ht="15" customHeight="1">
      <c r="C113" s="9">
        <f t="shared" si="80"/>
        <v>0</v>
      </c>
      <c r="D113" s="121"/>
      <c r="E113" s="121"/>
      <c r="F113" s="76" t="s">
        <v>37</v>
      </c>
      <c r="G113" s="77">
        <f aca="true" t="shared" si="85" ref="G113:Y113">G112*$B$11/$B$12</f>
        <v>5.613513888888889</v>
      </c>
      <c r="H113" s="77">
        <f t="shared" si="85"/>
        <v>4.415180700955848</v>
      </c>
      <c r="I113" s="77">
        <f t="shared" si="85"/>
        <v>3.5350408163265303</v>
      </c>
      <c r="J113" s="77">
        <f t="shared" si="85"/>
        <v>2.874119111111111</v>
      </c>
      <c r="K113" s="77">
        <f t="shared" si="85"/>
        <v>2.368201171875</v>
      </c>
      <c r="L113" s="77">
        <f t="shared" si="85"/>
        <v>1.9743846936698557</v>
      </c>
      <c r="M113" s="77">
        <f t="shared" si="85"/>
        <v>1.6632633744855967</v>
      </c>
      <c r="N113" s="77">
        <f t="shared" si="85"/>
        <v>1.4142224814112845</v>
      </c>
      <c r="O113" s="77">
        <f t="shared" si="85"/>
        <v>1.212519</v>
      </c>
      <c r="P113" s="77">
        <f t="shared" si="85"/>
        <v>1.0474195011337868</v>
      </c>
      <c r="Q113" s="77">
        <f t="shared" si="85"/>
        <v>0.9109834710743802</v>
      </c>
      <c r="R113" s="77">
        <f t="shared" si="85"/>
        <v>0.7972509246322018</v>
      </c>
      <c r="S113" s="77">
        <f t="shared" si="85"/>
        <v>0.7016892361111111</v>
      </c>
      <c r="T113" s="77">
        <f t="shared" si="85"/>
        <v>0.620809728</v>
      </c>
      <c r="U113" s="77">
        <f t="shared" si="85"/>
        <v>0.551897587619481</v>
      </c>
      <c r="V113" s="77">
        <f t="shared" si="85"/>
        <v>0.49281877762536197</v>
      </c>
      <c r="W113" s="77">
        <f t="shared" si="85"/>
        <v>0.4418801020408163</v>
      </c>
      <c r="X113" s="77">
        <f t="shared" si="85"/>
        <v>0.3977265160523187</v>
      </c>
      <c r="Y113" s="78">
        <f t="shared" si="85"/>
        <v>0.35926488888888886</v>
      </c>
    </row>
    <row r="114" spans="2:25" ht="15" customHeight="1" hidden="1" outlineLevel="1">
      <c r="B114" s="8"/>
      <c r="C114" s="9">
        <f t="shared" si="80"/>
        <v>0</v>
      </c>
      <c r="D114" s="79"/>
      <c r="E114" s="79"/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2"/>
    </row>
    <row r="115" spans="2:25" ht="15" customHeight="1" hidden="1" outlineLevel="1">
      <c r="B115" s="8">
        <f>I115*1000000/($B123*$B$6)</f>
        <v>0.12480005508446591</v>
      </c>
      <c r="D115" s="79"/>
      <c r="E115" s="79"/>
      <c r="F115" s="70" t="s">
        <v>21</v>
      </c>
      <c r="G115" s="71">
        <f aca="true" t="shared" si="86" ref="G115:Y115">IF(G$38&lt;$M$4,IF(G$38&lt;$M$3,$N$3*G$97,($N$3+0.095*(G$38-$M$3)/1.25)*G$97),IF(G$38&gt;6,0.9*G$97,(0.86+0.04*(G$38-$M$4)/1.35)*G$97))</f>
        <v>0.6885</v>
      </c>
      <c r="H115" s="71">
        <f t="shared" si="86"/>
        <v>0.80803125</v>
      </c>
      <c r="I115" s="71">
        <f t="shared" si="86"/>
        <v>0.9464350000000001</v>
      </c>
      <c r="J115" s="71">
        <f t="shared" si="86"/>
        <v>1.1131875</v>
      </c>
      <c r="K115" s="71">
        <f t="shared" si="86"/>
        <v>1.2969600000000001</v>
      </c>
      <c r="L115" s="71">
        <f t="shared" si="86"/>
        <v>1.498465</v>
      </c>
      <c r="M115" s="71">
        <f t="shared" si="86"/>
        <v>1.718415</v>
      </c>
      <c r="N115" s="71">
        <f t="shared" si="86"/>
        <v>1.9470601851851852</v>
      </c>
      <c r="O115" s="71">
        <f t="shared" si="86"/>
        <v>2.175925925925926</v>
      </c>
      <c r="P115" s="71">
        <f t="shared" si="86"/>
        <v>2.419375</v>
      </c>
      <c r="Q115" s="71">
        <f t="shared" si="86"/>
        <v>2.6776851851851853</v>
      </c>
      <c r="R115" s="71">
        <f t="shared" si="86"/>
        <v>2.951134259259259</v>
      </c>
      <c r="S115" s="71">
        <f t="shared" si="86"/>
        <v>3.24</v>
      </c>
      <c r="T115" s="71">
        <f t="shared" si="86"/>
        <v>3.515625</v>
      </c>
      <c r="U115" s="71">
        <f t="shared" si="86"/>
        <v>3.8024999999999998</v>
      </c>
      <c r="V115" s="71">
        <f t="shared" si="86"/>
        <v>4.100625000000001</v>
      </c>
      <c r="W115" s="71">
        <f t="shared" si="86"/>
        <v>4.41</v>
      </c>
      <c r="X115" s="71">
        <f t="shared" si="86"/>
        <v>4.730625</v>
      </c>
      <c r="Y115" s="72">
        <f t="shared" si="86"/>
        <v>5.0625</v>
      </c>
    </row>
    <row r="116" spans="2:25" ht="15" customHeight="1" hidden="1" outlineLevel="1">
      <c r="B116" s="8">
        <f>0.5*I117/$C120*$E$9</f>
        <v>0.05921176114675495</v>
      </c>
      <c r="D116" s="79"/>
      <c r="E116" s="79"/>
      <c r="F116" s="70" t="s">
        <v>22</v>
      </c>
      <c r="G116" s="71">
        <f aca="true" t="shared" si="87" ref="G116:Y116">G$38/2-G115/G$38</f>
        <v>1.2705</v>
      </c>
      <c r="H116" s="71">
        <f t="shared" si="87"/>
        <v>1.376375</v>
      </c>
      <c r="I116" s="71">
        <f t="shared" si="87"/>
        <v>1.47959</v>
      </c>
      <c r="J116" s="71">
        <f t="shared" si="87"/>
        <v>1.57815</v>
      </c>
      <c r="K116" s="71">
        <f t="shared" si="87"/>
        <v>1.67576</v>
      </c>
      <c r="L116" s="71">
        <f t="shared" si="87"/>
        <v>1.7724199999999999</v>
      </c>
      <c r="M116" s="71">
        <f t="shared" si="87"/>
        <v>1.86813</v>
      </c>
      <c r="N116" s="71">
        <f t="shared" si="87"/>
        <v>1.9650925925925926</v>
      </c>
      <c r="O116" s="71">
        <f t="shared" si="87"/>
        <v>2.064814814814815</v>
      </c>
      <c r="P116" s="71">
        <f t="shared" si="87"/>
        <v>2.1641666666666666</v>
      </c>
      <c r="Q116" s="71">
        <f t="shared" si="87"/>
        <v>2.263148148148148</v>
      </c>
      <c r="R116" s="71">
        <f t="shared" si="87"/>
        <v>2.3617592592592596</v>
      </c>
      <c r="S116" s="71">
        <f t="shared" si="87"/>
        <v>2.46</v>
      </c>
      <c r="T116" s="71">
        <f t="shared" si="87"/>
        <v>2.5625</v>
      </c>
      <c r="U116" s="71">
        <f t="shared" si="87"/>
        <v>2.665</v>
      </c>
      <c r="V116" s="71">
        <f t="shared" si="87"/>
        <v>2.7675</v>
      </c>
      <c r="W116" s="71">
        <f t="shared" si="87"/>
        <v>2.87</v>
      </c>
      <c r="X116" s="71">
        <f t="shared" si="87"/>
        <v>2.9725</v>
      </c>
      <c r="Y116" s="72">
        <f t="shared" si="87"/>
        <v>3.075</v>
      </c>
    </row>
    <row r="117" spans="2:25" ht="15" customHeight="1" hidden="1" outlineLevel="1">
      <c r="B117" s="8"/>
      <c r="D117" s="79"/>
      <c r="E117" s="79"/>
      <c r="F117" s="70" t="s">
        <v>23</v>
      </c>
      <c r="G117" s="71">
        <f aca="true" t="shared" si="88" ref="G117:Y117">1.5*G$38-G116</f>
        <v>3.2295</v>
      </c>
      <c r="H117" s="71">
        <f t="shared" si="88"/>
        <v>3.498625</v>
      </c>
      <c r="I117" s="71">
        <f t="shared" si="88"/>
        <v>3.77041</v>
      </c>
      <c r="J117" s="71">
        <f t="shared" si="88"/>
        <v>4.04685</v>
      </c>
      <c r="K117" s="71">
        <f t="shared" si="88"/>
        <v>4.32424</v>
      </c>
      <c r="L117" s="71">
        <f t="shared" si="88"/>
        <v>4.60258</v>
      </c>
      <c r="M117" s="71">
        <f t="shared" si="88"/>
        <v>4.88187</v>
      </c>
      <c r="N117" s="71">
        <f t="shared" si="88"/>
        <v>5.159907407407408</v>
      </c>
      <c r="O117" s="71">
        <f t="shared" si="88"/>
        <v>5.435185185185185</v>
      </c>
      <c r="P117" s="71">
        <f t="shared" si="88"/>
        <v>5.710833333333333</v>
      </c>
      <c r="Q117" s="71">
        <f t="shared" si="88"/>
        <v>5.986851851851852</v>
      </c>
      <c r="R117" s="71">
        <f t="shared" si="88"/>
        <v>6.26324074074074</v>
      </c>
      <c r="S117" s="71">
        <f t="shared" si="88"/>
        <v>6.54</v>
      </c>
      <c r="T117" s="71">
        <f t="shared" si="88"/>
        <v>6.8125</v>
      </c>
      <c r="U117" s="71">
        <f t="shared" si="88"/>
        <v>7.085</v>
      </c>
      <c r="V117" s="71">
        <f t="shared" si="88"/>
        <v>7.3575</v>
      </c>
      <c r="W117" s="71">
        <f t="shared" si="88"/>
        <v>7.63</v>
      </c>
      <c r="X117" s="71">
        <f t="shared" si="88"/>
        <v>7.9025</v>
      </c>
      <c r="Y117" s="72">
        <f t="shared" si="88"/>
        <v>8.175</v>
      </c>
    </row>
    <row r="118" spans="2:25" ht="15" customHeight="1" hidden="1" outlineLevel="1">
      <c r="B118" s="8"/>
      <c r="D118" s="79"/>
      <c r="E118" s="79"/>
      <c r="F118" s="70" t="s">
        <v>24</v>
      </c>
      <c r="G118" s="71">
        <f aca="true" t="shared" si="89" ref="G118:Y118">$C119/G116</f>
        <v>6.413332170130133</v>
      </c>
      <c r="H118" s="71">
        <f t="shared" si="89"/>
        <v>5.919998926273968</v>
      </c>
      <c r="I118" s="71">
        <f t="shared" si="89"/>
        <v>5.507024596104552</v>
      </c>
      <c r="J118" s="71">
        <f t="shared" si="89"/>
        <v>5.163095093717539</v>
      </c>
      <c r="K118" s="71">
        <f t="shared" si="89"/>
        <v>4.862354109270023</v>
      </c>
      <c r="L118" s="71">
        <f t="shared" si="89"/>
        <v>4.597182678005401</v>
      </c>
      <c r="M118" s="71">
        <f t="shared" si="89"/>
        <v>4.3616549823354545</v>
      </c>
      <c r="N118" s="71">
        <f t="shared" si="89"/>
        <v>4.146439996193921</v>
      </c>
      <c r="O118" s="71">
        <f t="shared" si="89"/>
        <v>3.9461836788889504</v>
      </c>
      <c r="P118" s="71">
        <f t="shared" si="89"/>
        <v>3.765023575887717</v>
      </c>
      <c r="Q118" s="71">
        <f t="shared" si="89"/>
        <v>3.600355782637411</v>
      </c>
      <c r="R118" s="71">
        <f t="shared" si="89"/>
        <v>3.450029248411165</v>
      </c>
      <c r="S118" s="71">
        <f t="shared" si="89"/>
        <v>3.312251431768428</v>
      </c>
      <c r="T118" s="71">
        <f t="shared" si="89"/>
        <v>3.179761374497691</v>
      </c>
      <c r="U118" s="71">
        <f t="shared" si="89"/>
        <v>3.0574628600939335</v>
      </c>
      <c r="V118" s="71">
        <f t="shared" si="89"/>
        <v>2.9442234949052692</v>
      </c>
      <c r="W118" s="71">
        <f t="shared" si="89"/>
        <v>2.83907265580151</v>
      </c>
      <c r="X118" s="71">
        <f t="shared" si="89"/>
        <v>2.741173598704906</v>
      </c>
      <c r="Y118" s="71">
        <f t="shared" si="89"/>
        <v>2.649801145414742</v>
      </c>
    </row>
    <row r="119" spans="1:25" ht="15" customHeight="1" hidden="1" outlineLevel="1">
      <c r="A119" s="14"/>
      <c r="B119" s="8">
        <v>0.88</v>
      </c>
      <c r="C119" s="9">
        <f aca="true" t="shared" si="90" ref="C119:C124">C62</f>
        <v>8.148138522150333</v>
      </c>
      <c r="D119" s="79"/>
      <c r="E119" s="79"/>
      <c r="F119" s="70" t="s">
        <v>25</v>
      </c>
      <c r="G119" s="71">
        <f aca="true" t="shared" si="91" ref="G119:Y119">$B122*$B$6/G116^2*2/1000000</f>
        <v>9.264040847261796</v>
      </c>
      <c r="H119" s="71">
        <f t="shared" si="91"/>
        <v>7.893620603584017</v>
      </c>
      <c r="I119" s="71">
        <f t="shared" si="91"/>
        <v>6.830728521878869</v>
      </c>
      <c r="J119" s="71">
        <f t="shared" si="91"/>
        <v>6.004173601998043</v>
      </c>
      <c r="K119" s="71">
        <f t="shared" si="91"/>
        <v>5.325080294137504</v>
      </c>
      <c r="L119" s="71">
        <f t="shared" si="91"/>
        <v>4.76010481898358</v>
      </c>
      <c r="M119" s="71">
        <f t="shared" si="91"/>
        <v>4.284849875547731</v>
      </c>
      <c r="N119" s="71">
        <f t="shared" si="91"/>
        <v>3.872431666732299</v>
      </c>
      <c r="O119" s="71">
        <f t="shared" si="91"/>
        <v>3.5074184724686064</v>
      </c>
      <c r="P119" s="71">
        <f t="shared" si="91"/>
        <v>3.19277557867948</v>
      </c>
      <c r="Q119" s="71">
        <f t="shared" si="91"/>
        <v>2.919603203553914</v>
      </c>
      <c r="R119" s="71">
        <f t="shared" si="91"/>
        <v>2.6808872342450027</v>
      </c>
      <c r="S119" s="71">
        <f t="shared" si="91"/>
        <v>2.471038920357391</v>
      </c>
      <c r="T119" s="71">
        <f t="shared" si="91"/>
        <v>2.2773094690013713</v>
      </c>
      <c r="U119" s="71">
        <f t="shared" si="91"/>
        <v>2.105500618529374</v>
      </c>
      <c r="V119" s="71">
        <f t="shared" si="91"/>
        <v>1.9524258136157158</v>
      </c>
      <c r="W119" s="71">
        <f t="shared" si="91"/>
        <v>1.8154571659768581</v>
      </c>
      <c r="X119" s="71">
        <f t="shared" si="91"/>
        <v>1.6924119121591639</v>
      </c>
      <c r="Y119" s="72">
        <f t="shared" si="91"/>
        <v>1.5814649090287298</v>
      </c>
    </row>
    <row r="120" spans="2:25" ht="15" customHeight="1" hidden="1" outlineLevel="1">
      <c r="B120" s="8"/>
      <c r="C120" s="9">
        <f t="shared" si="90"/>
        <v>36.61410686006617</v>
      </c>
      <c r="D120" s="79"/>
      <c r="E120" s="79"/>
      <c r="F120" s="70" t="s">
        <v>26</v>
      </c>
      <c r="G120" s="71">
        <f aca="true" t="shared" si="92" ref="G120:Y120">1.27/(G115*1000000/($B123*$B$6)+0.5*G117/$C120)</f>
        <v>9.415096719775956</v>
      </c>
      <c r="H120" s="71">
        <f t="shared" si="92"/>
        <v>8.229296095838194</v>
      </c>
      <c r="I120" s="71">
        <f t="shared" si="92"/>
        <v>7.2040983385122725</v>
      </c>
      <c r="J120" s="71">
        <f t="shared" si="92"/>
        <v>6.2855066812195055</v>
      </c>
      <c r="K120" s="71">
        <f t="shared" si="92"/>
        <v>5.519987145548868</v>
      </c>
      <c r="L120" s="71">
        <f t="shared" si="92"/>
        <v>4.876267392865301</v>
      </c>
      <c r="M120" s="71">
        <f t="shared" si="92"/>
        <v>4.330592472212575</v>
      </c>
      <c r="N120" s="71">
        <f t="shared" si="92"/>
        <v>3.881309115402348</v>
      </c>
      <c r="O120" s="71">
        <f t="shared" si="92"/>
        <v>3.516570094335595</v>
      </c>
      <c r="P120" s="71">
        <f t="shared" si="92"/>
        <v>3.1988829066837554</v>
      </c>
      <c r="Q120" s="71">
        <f t="shared" si="92"/>
        <v>2.920584100122212</v>
      </c>
      <c r="R120" s="71">
        <f t="shared" si="92"/>
        <v>2.675504828249716</v>
      </c>
      <c r="S120" s="71">
        <f t="shared" si="92"/>
        <v>2.4586340867103877</v>
      </c>
      <c r="T120" s="71">
        <f t="shared" si="92"/>
        <v>2.2816569134004165</v>
      </c>
      <c r="U120" s="71">
        <f t="shared" si="92"/>
        <v>2.1231686037525876</v>
      </c>
      <c r="V120" s="71">
        <f t="shared" si="92"/>
        <v>1.9806749474934962</v>
      </c>
      <c r="W120" s="71">
        <f t="shared" si="92"/>
        <v>1.852089439633913</v>
      </c>
      <c r="X120" s="71">
        <f t="shared" si="92"/>
        <v>1.7356556934065355</v>
      </c>
      <c r="Y120" s="72">
        <f t="shared" si="92"/>
        <v>1.629886578592674</v>
      </c>
    </row>
    <row r="121" spans="3:25" ht="15" customHeight="1" collapsed="1">
      <c r="C121" s="9">
        <f t="shared" si="90"/>
        <v>30.53892037706508</v>
      </c>
      <c r="D121" s="122">
        <f>B119</f>
        <v>0.88</v>
      </c>
      <c r="E121" s="119">
        <v>10.36</v>
      </c>
      <c r="F121" s="70" t="s">
        <v>38</v>
      </c>
      <c r="G121" s="71">
        <f aca="true" t="shared" si="93" ref="G121:Y121">MIN(G118,G119,G120)</f>
        <v>6.413332170130133</v>
      </c>
      <c r="H121" s="71">
        <f t="shared" si="93"/>
        <v>5.919998926273968</v>
      </c>
      <c r="I121" s="71">
        <f t="shared" si="93"/>
        <v>5.507024596104552</v>
      </c>
      <c r="J121" s="71">
        <f t="shared" si="93"/>
        <v>5.163095093717539</v>
      </c>
      <c r="K121" s="71">
        <f t="shared" si="93"/>
        <v>4.862354109270023</v>
      </c>
      <c r="L121" s="71">
        <f t="shared" si="93"/>
        <v>4.597182678005401</v>
      </c>
      <c r="M121" s="71">
        <f t="shared" si="93"/>
        <v>4.284849875547731</v>
      </c>
      <c r="N121" s="71">
        <f t="shared" si="93"/>
        <v>3.872431666732299</v>
      </c>
      <c r="O121" s="71">
        <f t="shared" si="93"/>
        <v>3.5074184724686064</v>
      </c>
      <c r="P121" s="71">
        <f t="shared" si="93"/>
        <v>3.19277557867948</v>
      </c>
      <c r="Q121" s="71">
        <f t="shared" si="93"/>
        <v>2.919603203553914</v>
      </c>
      <c r="R121" s="71">
        <f t="shared" si="93"/>
        <v>2.675504828249716</v>
      </c>
      <c r="S121" s="71">
        <f t="shared" si="93"/>
        <v>2.4586340867103877</v>
      </c>
      <c r="T121" s="71">
        <f t="shared" si="93"/>
        <v>2.2773094690013713</v>
      </c>
      <c r="U121" s="71">
        <f t="shared" si="93"/>
        <v>2.105500618529374</v>
      </c>
      <c r="V121" s="71">
        <f t="shared" si="93"/>
        <v>1.9524258136157158</v>
      </c>
      <c r="W121" s="71">
        <f t="shared" si="93"/>
        <v>1.8154571659768581</v>
      </c>
      <c r="X121" s="71">
        <f t="shared" si="93"/>
        <v>1.6924119121591639</v>
      </c>
      <c r="Y121" s="72">
        <f t="shared" si="93"/>
        <v>1.5814649090287298</v>
      </c>
    </row>
    <row r="122" spans="1:25" ht="15" customHeight="1" hidden="1" outlineLevel="1">
      <c r="A122" s="15" t="s">
        <v>1</v>
      </c>
      <c r="B122" s="8">
        <f>C$3</f>
        <v>26870</v>
      </c>
      <c r="C122" s="9">
        <f t="shared" si="90"/>
        <v>0</v>
      </c>
      <c r="D122" s="120"/>
      <c r="E122" s="120"/>
      <c r="F122" s="70" t="s">
        <v>27</v>
      </c>
      <c r="G122" s="71">
        <f aca="true" t="shared" si="94" ref="G122:Y122">IF(G$38&lt;$P$4,IF(G$38&lt;$P$3,$Q$3*G$97,($Q$3+($Q$4-$Q$3)*(G$38-$P$3)/($P$4-$P$3))*G$97),IF(G$38&gt;6,0.9*G$97,($Q$4+(0.9-$Q$4)*(G$38-$P$4)/($P$5-$P$4))*G$97))</f>
        <v>0.666</v>
      </c>
      <c r="H122" s="71">
        <f t="shared" si="94"/>
        <v>0.7816249999999999</v>
      </c>
      <c r="I122" s="71">
        <f t="shared" si="94"/>
        <v>0.9065000000000001</v>
      </c>
      <c r="J122" s="71">
        <f t="shared" si="94"/>
        <v>1.07138671875</v>
      </c>
      <c r="K122" s="71">
        <f t="shared" si="94"/>
        <v>1.254</v>
      </c>
      <c r="L122" s="71">
        <f t="shared" si="94"/>
        <v>1.4551601562499998</v>
      </c>
      <c r="M122" s="71">
        <f t="shared" si="94"/>
        <v>1.6756874999999998</v>
      </c>
      <c r="N122" s="71">
        <f t="shared" si="94"/>
        <v>1.9113040865384616</v>
      </c>
      <c r="O122" s="71">
        <f t="shared" si="94"/>
        <v>2.144230769230769</v>
      </c>
      <c r="P122" s="71">
        <f t="shared" si="94"/>
        <v>2.3931670673076924</v>
      </c>
      <c r="Q122" s="71">
        <f t="shared" si="94"/>
        <v>2.6585096153846153</v>
      </c>
      <c r="R122" s="71">
        <f t="shared" si="94"/>
        <v>2.9406550480769234</v>
      </c>
      <c r="S122" s="71">
        <f t="shared" si="94"/>
        <v>3.24</v>
      </c>
      <c r="T122" s="71">
        <f t="shared" si="94"/>
        <v>3.515625</v>
      </c>
      <c r="U122" s="71">
        <f t="shared" si="94"/>
        <v>3.8024999999999998</v>
      </c>
      <c r="V122" s="71">
        <f t="shared" si="94"/>
        <v>4.100625000000001</v>
      </c>
      <c r="W122" s="71">
        <f t="shared" si="94"/>
        <v>4.41</v>
      </c>
      <c r="X122" s="71">
        <f t="shared" si="94"/>
        <v>4.730625</v>
      </c>
      <c r="Y122" s="72">
        <f t="shared" si="94"/>
        <v>5.0625</v>
      </c>
    </row>
    <row r="123" spans="1:25" ht="15" customHeight="1" hidden="1" outlineLevel="1">
      <c r="A123" s="15" t="s">
        <v>2</v>
      </c>
      <c r="B123" s="9">
        <f>D$3</f>
        <v>27253.6</v>
      </c>
      <c r="C123" s="9">
        <f t="shared" si="90"/>
        <v>0</v>
      </c>
      <c r="D123" s="120"/>
      <c r="E123" s="120"/>
      <c r="F123" s="70" t="s">
        <v>22</v>
      </c>
      <c r="G123" s="71">
        <f aca="true" t="shared" si="95" ref="G123:Y123">G$38/2-G122/G$38</f>
        <v>1.278</v>
      </c>
      <c r="H123" s="71">
        <f t="shared" si="95"/>
        <v>1.3845</v>
      </c>
      <c r="I123" s="71">
        <f t="shared" si="95"/>
        <v>1.491</v>
      </c>
      <c r="J123" s="71">
        <f t="shared" si="95"/>
        <v>1.589296875</v>
      </c>
      <c r="K123" s="71">
        <f t="shared" si="95"/>
        <v>1.6865</v>
      </c>
      <c r="L123" s="71">
        <f t="shared" si="95"/>
        <v>1.782609375</v>
      </c>
      <c r="M123" s="71">
        <f t="shared" si="95"/>
        <v>1.877625</v>
      </c>
      <c r="N123" s="71">
        <f t="shared" si="95"/>
        <v>1.9726201923076923</v>
      </c>
      <c r="O123" s="71">
        <f t="shared" si="95"/>
        <v>2.0711538461538463</v>
      </c>
      <c r="P123" s="71">
        <f t="shared" si="95"/>
        <v>2.169158653846154</v>
      </c>
      <c r="Q123" s="71">
        <f t="shared" si="95"/>
        <v>2.2666346153846155</v>
      </c>
      <c r="R123" s="71">
        <f t="shared" si="95"/>
        <v>2.363581730769231</v>
      </c>
      <c r="S123" s="71">
        <f t="shared" si="95"/>
        <v>2.46</v>
      </c>
      <c r="T123" s="71">
        <f t="shared" si="95"/>
        <v>2.5625</v>
      </c>
      <c r="U123" s="71">
        <f t="shared" si="95"/>
        <v>2.665</v>
      </c>
      <c r="V123" s="71">
        <f t="shared" si="95"/>
        <v>2.7675</v>
      </c>
      <c r="W123" s="71">
        <f t="shared" si="95"/>
        <v>2.87</v>
      </c>
      <c r="X123" s="71">
        <f t="shared" si="95"/>
        <v>2.9725</v>
      </c>
      <c r="Y123" s="72">
        <f t="shared" si="95"/>
        <v>3.075</v>
      </c>
    </row>
    <row r="124" spans="1:25" ht="15" customHeight="1" hidden="1" outlineLevel="1">
      <c r="A124" s="8" t="s">
        <v>3</v>
      </c>
      <c r="B124" s="17">
        <f>E$3</f>
        <v>1940000</v>
      </c>
      <c r="C124" s="9">
        <f t="shared" si="90"/>
        <v>0</v>
      </c>
      <c r="D124" s="120"/>
      <c r="E124" s="120"/>
      <c r="F124" s="70" t="s">
        <v>23</v>
      </c>
      <c r="G124" s="71">
        <f aca="true" t="shared" si="96" ref="G124:Y124">2*(G$38-G123)</f>
        <v>3.444</v>
      </c>
      <c r="H124" s="71">
        <f t="shared" si="96"/>
        <v>3.731</v>
      </c>
      <c r="I124" s="71">
        <f t="shared" si="96"/>
        <v>4.018</v>
      </c>
      <c r="J124" s="71">
        <f t="shared" si="96"/>
        <v>4.32140625</v>
      </c>
      <c r="K124" s="71">
        <f t="shared" si="96"/>
        <v>4.627</v>
      </c>
      <c r="L124" s="71">
        <f t="shared" si="96"/>
        <v>4.93478125</v>
      </c>
      <c r="M124" s="71">
        <f t="shared" si="96"/>
        <v>5.24475</v>
      </c>
      <c r="N124" s="71">
        <f t="shared" si="96"/>
        <v>5.554759615384615</v>
      </c>
      <c r="O124" s="71">
        <f t="shared" si="96"/>
        <v>5.857692307692307</v>
      </c>
      <c r="P124" s="71">
        <f t="shared" si="96"/>
        <v>6.161682692307692</v>
      </c>
      <c r="Q124" s="71">
        <f t="shared" si="96"/>
        <v>6.466730769230769</v>
      </c>
      <c r="R124" s="71">
        <f t="shared" si="96"/>
        <v>6.772836538461538</v>
      </c>
      <c r="S124" s="71">
        <f t="shared" si="96"/>
        <v>7.08</v>
      </c>
      <c r="T124" s="71">
        <f t="shared" si="96"/>
        <v>7.375</v>
      </c>
      <c r="U124" s="71">
        <f t="shared" si="96"/>
        <v>7.67</v>
      </c>
      <c r="V124" s="71">
        <f t="shared" si="96"/>
        <v>7.965</v>
      </c>
      <c r="W124" s="71">
        <f t="shared" si="96"/>
        <v>8.26</v>
      </c>
      <c r="X124" s="71">
        <f t="shared" si="96"/>
        <v>8.555</v>
      </c>
      <c r="Y124" s="72">
        <f t="shared" si="96"/>
        <v>8.85</v>
      </c>
    </row>
    <row r="125" spans="1:25" ht="15" customHeight="1" hidden="1" outlineLevel="1">
      <c r="A125" s="8"/>
      <c r="B125" s="17"/>
      <c r="D125" s="120"/>
      <c r="E125" s="120"/>
      <c r="F125" s="70" t="s">
        <v>24</v>
      </c>
      <c r="G125" s="71">
        <f aca="true" t="shared" si="97" ref="G125:Y125">$C119/G123</f>
        <v>6.375695244249087</v>
      </c>
      <c r="H125" s="71">
        <f t="shared" si="97"/>
        <v>5.885257148537619</v>
      </c>
      <c r="I125" s="71">
        <f t="shared" si="97"/>
        <v>5.464881637927788</v>
      </c>
      <c r="J125" s="71">
        <f t="shared" si="97"/>
        <v>5.126882617289695</v>
      </c>
      <c r="K125" s="71">
        <f t="shared" si="97"/>
        <v>4.83138957732009</v>
      </c>
      <c r="L125" s="71">
        <f t="shared" si="97"/>
        <v>4.570905233879595</v>
      </c>
      <c r="M125" s="71">
        <f t="shared" si="97"/>
        <v>4.339598440663249</v>
      </c>
      <c r="N125" s="71">
        <f t="shared" si="97"/>
        <v>4.130617010778005</v>
      </c>
      <c r="O125" s="71">
        <f t="shared" si="97"/>
        <v>3.934105878846957</v>
      </c>
      <c r="P125" s="71">
        <f t="shared" si="97"/>
        <v>3.7563589494492704</v>
      </c>
      <c r="Q125" s="71">
        <f t="shared" si="97"/>
        <v>3.5948178267663624</v>
      </c>
      <c r="R125" s="71">
        <f t="shared" si="97"/>
        <v>3.4473690569179136</v>
      </c>
      <c r="S125" s="71">
        <f t="shared" si="97"/>
        <v>3.312251431768428</v>
      </c>
      <c r="T125" s="71">
        <f t="shared" si="97"/>
        <v>3.179761374497691</v>
      </c>
      <c r="U125" s="71">
        <f t="shared" si="97"/>
        <v>3.0574628600939335</v>
      </c>
      <c r="V125" s="71">
        <f t="shared" si="97"/>
        <v>2.9442234949052692</v>
      </c>
      <c r="W125" s="71">
        <f t="shared" si="97"/>
        <v>2.83907265580151</v>
      </c>
      <c r="X125" s="71">
        <f t="shared" si="97"/>
        <v>2.741173598704906</v>
      </c>
      <c r="Y125" s="71">
        <f t="shared" si="97"/>
        <v>2.649801145414742</v>
      </c>
    </row>
    <row r="126" spans="1:25" ht="15" customHeight="1" hidden="1" outlineLevel="1">
      <c r="A126" s="8" t="s">
        <v>28</v>
      </c>
      <c r="B126" s="17">
        <f>F$3</f>
        <v>1555000</v>
      </c>
      <c r="C126" s="9">
        <f aca="true" t="shared" si="98" ref="C126:C134">C69</f>
        <v>0</v>
      </c>
      <c r="D126" s="120"/>
      <c r="E126" s="120"/>
      <c r="F126" s="70" t="s">
        <v>25</v>
      </c>
      <c r="G126" s="71">
        <f aca="true" t="shared" si="99" ref="G126:Y126">$B122*$B$6/G123^2*2/1000000</f>
        <v>9.155627025327368</v>
      </c>
      <c r="H126" s="71">
        <f t="shared" si="99"/>
        <v>7.801244329273023</v>
      </c>
      <c r="I126" s="71">
        <f t="shared" si="99"/>
        <v>6.726583120648677</v>
      </c>
      <c r="J126" s="71">
        <f t="shared" si="99"/>
        <v>5.920245838073653</v>
      </c>
      <c r="K126" s="71">
        <f t="shared" si="99"/>
        <v>5.257473701998029</v>
      </c>
      <c r="L126" s="71">
        <f t="shared" si="99"/>
        <v>4.705842933157403</v>
      </c>
      <c r="M126" s="71">
        <f t="shared" si="99"/>
        <v>4.24162316089178</v>
      </c>
      <c r="N126" s="71">
        <f t="shared" si="99"/>
        <v>3.84293334099746</v>
      </c>
      <c r="O126" s="71">
        <f t="shared" si="99"/>
        <v>3.4859815220324397</v>
      </c>
      <c r="P126" s="71">
        <f t="shared" si="99"/>
        <v>3.178097118021407</v>
      </c>
      <c r="Q126" s="71">
        <f t="shared" si="99"/>
        <v>2.910628424597838</v>
      </c>
      <c r="R126" s="71">
        <f t="shared" si="99"/>
        <v>2.676754559757217</v>
      </c>
      <c r="S126" s="71">
        <f t="shared" si="99"/>
        <v>2.471038920357391</v>
      </c>
      <c r="T126" s="71">
        <f t="shared" si="99"/>
        <v>2.2773094690013713</v>
      </c>
      <c r="U126" s="71">
        <f t="shared" si="99"/>
        <v>2.105500618529374</v>
      </c>
      <c r="V126" s="71">
        <f t="shared" si="99"/>
        <v>1.9524258136157158</v>
      </c>
      <c r="W126" s="71">
        <f t="shared" si="99"/>
        <v>1.8154571659768581</v>
      </c>
      <c r="X126" s="71">
        <f t="shared" si="99"/>
        <v>1.6924119121591639</v>
      </c>
      <c r="Y126" s="72">
        <f t="shared" si="99"/>
        <v>1.5814649090287298</v>
      </c>
    </row>
    <row r="127" spans="1:25" ht="15" customHeight="1" hidden="1" outlineLevel="1">
      <c r="A127" s="9" t="s">
        <v>29</v>
      </c>
      <c r="B127" s="19">
        <f>0.65*B124+0.35*B126</f>
        <v>1805250</v>
      </c>
      <c r="C127" s="9">
        <f t="shared" si="98"/>
        <v>0</v>
      </c>
      <c r="D127" s="120"/>
      <c r="E127" s="120"/>
      <c r="F127" s="70" t="s">
        <v>26</v>
      </c>
      <c r="G127" s="71">
        <f aca="true" t="shared" si="100" ref="G127:Y127">1.27/(G122*1000000/($B123*$B$6)+0.5*G124/$C121)</f>
        <v>8.80672185781087</v>
      </c>
      <c r="H127" s="71">
        <f t="shared" si="100"/>
        <v>7.736654215768828</v>
      </c>
      <c r="I127" s="71">
        <f t="shared" si="100"/>
        <v>6.853048007744838</v>
      </c>
      <c r="J127" s="71">
        <f t="shared" si="100"/>
        <v>5.989745484274245</v>
      </c>
      <c r="K127" s="71">
        <f t="shared" si="100"/>
        <v>5.267253302756058</v>
      </c>
      <c r="L127" s="71">
        <f t="shared" si="100"/>
        <v>4.657521916529654</v>
      </c>
      <c r="M127" s="71">
        <f t="shared" si="100"/>
        <v>4.1390777368573755</v>
      </c>
      <c r="N127" s="71">
        <f t="shared" si="100"/>
        <v>3.702877933928801</v>
      </c>
      <c r="O127" s="71">
        <f t="shared" si="100"/>
        <v>3.354014360966885</v>
      </c>
      <c r="P127" s="71">
        <f t="shared" si="100"/>
        <v>3.0495609093422402</v>
      </c>
      <c r="Q127" s="71">
        <f t="shared" si="100"/>
        <v>2.782422698606291</v>
      </c>
      <c r="R127" s="71">
        <f t="shared" si="100"/>
        <v>2.5468606154647735</v>
      </c>
      <c r="S127" s="71">
        <f t="shared" si="100"/>
        <v>2.338191662224958</v>
      </c>
      <c r="T127" s="71">
        <f t="shared" si="100"/>
        <v>2.1734311925482124</v>
      </c>
      <c r="U127" s="71">
        <f t="shared" si="100"/>
        <v>2.0255580520477734</v>
      </c>
      <c r="V127" s="71">
        <f t="shared" si="100"/>
        <v>1.8923326486024068</v>
      </c>
      <c r="W127" s="71">
        <f t="shared" si="100"/>
        <v>1.771875926795156</v>
      </c>
      <c r="X127" s="71">
        <f t="shared" si="100"/>
        <v>1.662601687782365</v>
      </c>
      <c r="Y127" s="72">
        <f t="shared" si="100"/>
        <v>1.5631633218418293</v>
      </c>
    </row>
    <row r="128" spans="3:25" s="16" customFormat="1" ht="15" customHeight="1" collapsed="1">
      <c r="C128" s="9">
        <f t="shared" si="98"/>
        <v>0</v>
      </c>
      <c r="D128" s="120"/>
      <c r="E128" s="120"/>
      <c r="F128" s="73" t="s">
        <v>39</v>
      </c>
      <c r="G128" s="74">
        <f aca="true" t="shared" si="101" ref="G128:Y128">MIN(G125,G126,G127)</f>
        <v>6.375695244249087</v>
      </c>
      <c r="H128" s="74">
        <f t="shared" si="101"/>
        <v>5.885257148537619</v>
      </c>
      <c r="I128" s="74">
        <f t="shared" si="101"/>
        <v>5.464881637927788</v>
      </c>
      <c r="J128" s="74">
        <f t="shared" si="101"/>
        <v>5.126882617289695</v>
      </c>
      <c r="K128" s="74">
        <f t="shared" si="101"/>
        <v>4.83138957732009</v>
      </c>
      <c r="L128" s="74">
        <f t="shared" si="101"/>
        <v>4.570905233879595</v>
      </c>
      <c r="M128" s="74">
        <f t="shared" si="101"/>
        <v>4.1390777368573755</v>
      </c>
      <c r="N128" s="74">
        <f t="shared" si="101"/>
        <v>3.702877933928801</v>
      </c>
      <c r="O128" s="74">
        <f t="shared" si="101"/>
        <v>3.354014360966885</v>
      </c>
      <c r="P128" s="74">
        <f t="shared" si="101"/>
        <v>3.0495609093422402</v>
      </c>
      <c r="Q128" s="74">
        <f t="shared" si="101"/>
        <v>2.782422698606291</v>
      </c>
      <c r="R128" s="74">
        <f t="shared" si="101"/>
        <v>2.5468606154647735</v>
      </c>
      <c r="S128" s="74">
        <f t="shared" si="101"/>
        <v>2.338191662224958</v>
      </c>
      <c r="T128" s="74">
        <f t="shared" si="101"/>
        <v>2.1734311925482124</v>
      </c>
      <c r="U128" s="74">
        <f t="shared" si="101"/>
        <v>2.0255580520477734</v>
      </c>
      <c r="V128" s="74">
        <f t="shared" si="101"/>
        <v>1.8923326486024068</v>
      </c>
      <c r="W128" s="74">
        <f t="shared" si="101"/>
        <v>1.771875926795156</v>
      </c>
      <c r="X128" s="74">
        <f t="shared" si="101"/>
        <v>1.662601687782365</v>
      </c>
      <c r="Y128" s="74">
        <f t="shared" si="101"/>
        <v>1.5631633218418293</v>
      </c>
    </row>
    <row r="129" spans="3:25" s="8" customFormat="1" ht="15" customHeight="1">
      <c r="C129" s="9">
        <f t="shared" si="98"/>
        <v>0</v>
      </c>
      <c r="D129" s="120"/>
      <c r="E129" s="120"/>
      <c r="F129" s="70" t="s">
        <v>36</v>
      </c>
      <c r="G129" s="71">
        <f aca="true" t="shared" si="102" ref="G129:Y129">145*$B$7*$B127/(G$15*1000)^3/$B$11</f>
        <v>13.572805555555556</v>
      </c>
      <c r="H129" s="71">
        <f t="shared" si="102"/>
        <v>10.675379153390988</v>
      </c>
      <c r="I129" s="71">
        <f t="shared" si="102"/>
        <v>8.54730612244898</v>
      </c>
      <c r="J129" s="71">
        <f t="shared" si="102"/>
        <v>6.949276444444445</v>
      </c>
      <c r="K129" s="71">
        <f t="shared" si="102"/>
        <v>5.72602734375</v>
      </c>
      <c r="L129" s="71">
        <f t="shared" si="102"/>
        <v>4.7738261754528795</v>
      </c>
      <c r="M129" s="71">
        <f t="shared" si="102"/>
        <v>4.0215720164609055</v>
      </c>
      <c r="N129" s="71">
        <f t="shared" si="102"/>
        <v>3.4194209068377313</v>
      </c>
      <c r="O129" s="71">
        <f t="shared" si="102"/>
        <v>2.931726</v>
      </c>
      <c r="P129" s="71">
        <f t="shared" si="102"/>
        <v>2.53253514739229</v>
      </c>
      <c r="Q129" s="71">
        <f t="shared" si="102"/>
        <v>2.202649135987979</v>
      </c>
      <c r="R129" s="71">
        <f t="shared" si="102"/>
        <v>1.927657434042903</v>
      </c>
      <c r="S129" s="71">
        <f t="shared" si="102"/>
        <v>1.6966006944444445</v>
      </c>
      <c r="T129" s="71">
        <f t="shared" si="102"/>
        <v>1.501043712</v>
      </c>
      <c r="U129" s="71">
        <f t="shared" si="102"/>
        <v>1.3344223941738735</v>
      </c>
      <c r="V129" s="71">
        <f t="shared" si="102"/>
        <v>1.1915768937661941</v>
      </c>
      <c r="W129" s="71">
        <f t="shared" si="102"/>
        <v>1.0684132653061225</v>
      </c>
      <c r="X129" s="71">
        <f t="shared" si="102"/>
        <v>0.9616551724137931</v>
      </c>
      <c r="Y129" s="72">
        <f t="shared" si="102"/>
        <v>0.8686595555555556</v>
      </c>
    </row>
    <row r="130" spans="3:25" s="11" customFormat="1" ht="15" customHeight="1">
      <c r="C130" s="9">
        <f t="shared" si="98"/>
        <v>0</v>
      </c>
      <c r="D130" s="121"/>
      <c r="E130" s="121"/>
      <c r="F130" s="76" t="s">
        <v>37</v>
      </c>
      <c r="G130" s="77">
        <f aca="true" t="shared" si="103" ref="G130:Y130">G129*$B$11/$B$12</f>
        <v>6.786402777777778</v>
      </c>
      <c r="H130" s="77">
        <f t="shared" si="103"/>
        <v>5.337689576695494</v>
      </c>
      <c r="I130" s="77">
        <f t="shared" si="103"/>
        <v>4.27365306122449</v>
      </c>
      <c r="J130" s="77">
        <f t="shared" si="103"/>
        <v>3.4746382222222225</v>
      </c>
      <c r="K130" s="77">
        <f t="shared" si="103"/>
        <v>2.863013671875</v>
      </c>
      <c r="L130" s="77">
        <f t="shared" si="103"/>
        <v>2.3869130877264397</v>
      </c>
      <c r="M130" s="77">
        <f t="shared" si="103"/>
        <v>2.0107860082304527</v>
      </c>
      <c r="N130" s="77">
        <f t="shared" si="103"/>
        <v>1.7097104534188656</v>
      </c>
      <c r="O130" s="77">
        <f t="shared" si="103"/>
        <v>1.465863</v>
      </c>
      <c r="P130" s="77">
        <f t="shared" si="103"/>
        <v>1.266267573696145</v>
      </c>
      <c r="Q130" s="77">
        <f t="shared" si="103"/>
        <v>1.1013245679939896</v>
      </c>
      <c r="R130" s="77">
        <f t="shared" si="103"/>
        <v>0.9638287170214515</v>
      </c>
      <c r="S130" s="77">
        <f t="shared" si="103"/>
        <v>0.8483003472222223</v>
      </c>
      <c r="T130" s="77">
        <f t="shared" si="103"/>
        <v>0.750521856</v>
      </c>
      <c r="U130" s="77">
        <f t="shared" si="103"/>
        <v>0.6672111970869368</v>
      </c>
      <c r="V130" s="77">
        <f t="shared" si="103"/>
        <v>0.5957884468830971</v>
      </c>
      <c r="W130" s="77">
        <f t="shared" si="103"/>
        <v>0.5342066326530612</v>
      </c>
      <c r="X130" s="77">
        <f t="shared" si="103"/>
        <v>0.48082758620689653</v>
      </c>
      <c r="Y130" s="78">
        <f t="shared" si="103"/>
        <v>0.4343297777777778</v>
      </c>
    </row>
    <row r="131" spans="2:25" ht="15" customHeight="1" hidden="1" outlineLevel="1">
      <c r="B131" s="17"/>
      <c r="C131" s="9">
        <f t="shared" si="98"/>
        <v>0</v>
      </c>
      <c r="D131" s="79"/>
      <c r="E131" s="79"/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2"/>
    </row>
    <row r="132" spans="2:25" ht="15" customHeight="1" hidden="1" outlineLevel="1">
      <c r="B132" s="17"/>
      <c r="C132" s="9">
        <f t="shared" si="98"/>
        <v>0</v>
      </c>
      <c r="D132" s="79"/>
      <c r="E132" s="79"/>
      <c r="F132" s="70" t="s">
        <v>21</v>
      </c>
      <c r="G132" s="71">
        <f aca="true" t="shared" si="104" ref="G132:Y132">IF(G$38&lt;$M$4,IF(G$38&lt;$M$3,$N$3*G$97,($N$3+0.095*(G$38-$M$3)/1.25)*G$97),IF(G$38&gt;6,0.9*G$97,(0.86+0.04*(G$38-$M$4)/1.35)*G$97))</f>
        <v>0.6885</v>
      </c>
      <c r="H132" s="71">
        <f t="shared" si="104"/>
        <v>0.80803125</v>
      </c>
      <c r="I132" s="71">
        <f t="shared" si="104"/>
        <v>0.9464350000000001</v>
      </c>
      <c r="J132" s="71">
        <f t="shared" si="104"/>
        <v>1.1131875</v>
      </c>
      <c r="K132" s="71">
        <f t="shared" si="104"/>
        <v>1.2969600000000001</v>
      </c>
      <c r="L132" s="71">
        <f t="shared" si="104"/>
        <v>1.498465</v>
      </c>
      <c r="M132" s="71">
        <f t="shared" si="104"/>
        <v>1.718415</v>
      </c>
      <c r="N132" s="71">
        <f t="shared" si="104"/>
        <v>1.9470601851851852</v>
      </c>
      <c r="O132" s="71">
        <f t="shared" si="104"/>
        <v>2.175925925925926</v>
      </c>
      <c r="P132" s="71">
        <f t="shared" si="104"/>
        <v>2.419375</v>
      </c>
      <c r="Q132" s="71">
        <f t="shared" si="104"/>
        <v>2.6776851851851853</v>
      </c>
      <c r="R132" s="71">
        <f t="shared" si="104"/>
        <v>2.951134259259259</v>
      </c>
      <c r="S132" s="71">
        <f t="shared" si="104"/>
        <v>3.24</v>
      </c>
      <c r="T132" s="71">
        <f t="shared" si="104"/>
        <v>3.515625</v>
      </c>
      <c r="U132" s="71">
        <f t="shared" si="104"/>
        <v>3.8024999999999998</v>
      </c>
      <c r="V132" s="71">
        <f t="shared" si="104"/>
        <v>4.100625000000001</v>
      </c>
      <c r="W132" s="71">
        <f t="shared" si="104"/>
        <v>4.41</v>
      </c>
      <c r="X132" s="71">
        <f t="shared" si="104"/>
        <v>4.730625</v>
      </c>
      <c r="Y132" s="72">
        <f t="shared" si="104"/>
        <v>5.0625</v>
      </c>
    </row>
    <row r="133" spans="2:25" ht="15" customHeight="1" hidden="1" outlineLevel="1">
      <c r="B133" s="17"/>
      <c r="C133" s="9">
        <f t="shared" si="98"/>
        <v>0</v>
      </c>
      <c r="D133" s="79"/>
      <c r="E133" s="79"/>
      <c r="F133" s="70" t="s">
        <v>22</v>
      </c>
      <c r="G133" s="71">
        <f aca="true" t="shared" si="105" ref="G133:Y133">G$38/2-G132/G$38</f>
        <v>1.2705</v>
      </c>
      <c r="H133" s="71">
        <f t="shared" si="105"/>
        <v>1.376375</v>
      </c>
      <c r="I133" s="71">
        <f t="shared" si="105"/>
        <v>1.47959</v>
      </c>
      <c r="J133" s="71">
        <f t="shared" si="105"/>
        <v>1.57815</v>
      </c>
      <c r="K133" s="71">
        <f t="shared" si="105"/>
        <v>1.67576</v>
      </c>
      <c r="L133" s="71">
        <f t="shared" si="105"/>
        <v>1.7724199999999999</v>
      </c>
      <c r="M133" s="71">
        <f t="shared" si="105"/>
        <v>1.86813</v>
      </c>
      <c r="N133" s="71">
        <f t="shared" si="105"/>
        <v>1.9650925925925926</v>
      </c>
      <c r="O133" s="71">
        <f t="shared" si="105"/>
        <v>2.064814814814815</v>
      </c>
      <c r="P133" s="71">
        <f t="shared" si="105"/>
        <v>2.1641666666666666</v>
      </c>
      <c r="Q133" s="71">
        <f t="shared" si="105"/>
        <v>2.263148148148148</v>
      </c>
      <c r="R133" s="71">
        <f t="shared" si="105"/>
        <v>2.3617592592592596</v>
      </c>
      <c r="S133" s="71">
        <f t="shared" si="105"/>
        <v>2.46</v>
      </c>
      <c r="T133" s="71">
        <f t="shared" si="105"/>
        <v>2.5625</v>
      </c>
      <c r="U133" s="71">
        <f t="shared" si="105"/>
        <v>2.665</v>
      </c>
      <c r="V133" s="71">
        <f t="shared" si="105"/>
        <v>2.7675</v>
      </c>
      <c r="W133" s="71">
        <f t="shared" si="105"/>
        <v>2.87</v>
      </c>
      <c r="X133" s="71">
        <f t="shared" si="105"/>
        <v>2.9725</v>
      </c>
      <c r="Y133" s="72">
        <f t="shared" si="105"/>
        <v>3.075</v>
      </c>
    </row>
    <row r="134" spans="2:25" ht="15" customHeight="1" hidden="1" outlineLevel="1">
      <c r="B134" s="17"/>
      <c r="C134" s="9">
        <f t="shared" si="98"/>
        <v>0</v>
      </c>
      <c r="D134" s="79"/>
      <c r="E134" s="79"/>
      <c r="F134" s="70" t="s">
        <v>23</v>
      </c>
      <c r="G134" s="71">
        <f aca="true" t="shared" si="106" ref="G134:Y134">1.5*G$38-G133</f>
        <v>3.2295</v>
      </c>
      <c r="H134" s="71">
        <f t="shared" si="106"/>
        <v>3.498625</v>
      </c>
      <c r="I134" s="71">
        <f t="shared" si="106"/>
        <v>3.77041</v>
      </c>
      <c r="J134" s="71">
        <f t="shared" si="106"/>
        <v>4.04685</v>
      </c>
      <c r="K134" s="71">
        <f t="shared" si="106"/>
        <v>4.32424</v>
      </c>
      <c r="L134" s="71">
        <f t="shared" si="106"/>
        <v>4.60258</v>
      </c>
      <c r="M134" s="71">
        <f t="shared" si="106"/>
        <v>4.88187</v>
      </c>
      <c r="N134" s="71">
        <f t="shared" si="106"/>
        <v>5.159907407407408</v>
      </c>
      <c r="O134" s="71">
        <f t="shared" si="106"/>
        <v>5.435185185185185</v>
      </c>
      <c r="P134" s="71">
        <f t="shared" si="106"/>
        <v>5.710833333333333</v>
      </c>
      <c r="Q134" s="71">
        <f t="shared" si="106"/>
        <v>5.986851851851852</v>
      </c>
      <c r="R134" s="71">
        <f t="shared" si="106"/>
        <v>6.26324074074074</v>
      </c>
      <c r="S134" s="71">
        <f t="shared" si="106"/>
        <v>6.54</v>
      </c>
      <c r="T134" s="71">
        <f t="shared" si="106"/>
        <v>6.8125</v>
      </c>
      <c r="U134" s="71">
        <f t="shared" si="106"/>
        <v>7.085</v>
      </c>
      <c r="V134" s="71">
        <f t="shared" si="106"/>
        <v>7.3575</v>
      </c>
      <c r="W134" s="71">
        <f t="shared" si="106"/>
        <v>7.63</v>
      </c>
      <c r="X134" s="71">
        <f t="shared" si="106"/>
        <v>7.9025</v>
      </c>
      <c r="Y134" s="72">
        <f t="shared" si="106"/>
        <v>8.175</v>
      </c>
    </row>
    <row r="135" spans="2:25" ht="15" customHeight="1" hidden="1" outlineLevel="1">
      <c r="B135" s="17"/>
      <c r="D135" s="79"/>
      <c r="E135" s="79"/>
      <c r="F135" s="70" t="s">
        <v>24</v>
      </c>
      <c r="G135" s="71">
        <f aca="true" t="shared" si="107" ref="G135:Y135">$C136/G133</f>
        <v>8.370108081465295</v>
      </c>
      <c r="H135" s="71">
        <f t="shared" si="107"/>
        <v>7.726253613660272</v>
      </c>
      <c r="I135" s="71">
        <f t="shared" si="107"/>
        <v>7.187276419482192</v>
      </c>
      <c r="J135" s="71">
        <f t="shared" si="107"/>
        <v>6.738410364985367</v>
      </c>
      <c r="K135" s="71">
        <f t="shared" si="107"/>
        <v>6.345910104968287</v>
      </c>
      <c r="L135" s="71">
        <f t="shared" si="107"/>
        <v>5.999832047427617</v>
      </c>
      <c r="M135" s="71">
        <f t="shared" si="107"/>
        <v>5.692442344752055</v>
      </c>
      <c r="N135" s="71">
        <f t="shared" si="107"/>
        <v>5.411562975499123</v>
      </c>
      <c r="O135" s="71">
        <f t="shared" si="107"/>
        <v>5.150206324171205</v>
      </c>
      <c r="P135" s="71">
        <f t="shared" si="107"/>
        <v>4.913772345399303</v>
      </c>
      <c r="Q135" s="71">
        <f t="shared" si="107"/>
        <v>4.6988626556344775</v>
      </c>
      <c r="R135" s="71">
        <f t="shared" si="107"/>
        <v>4.502669895676398</v>
      </c>
      <c r="S135" s="71">
        <f t="shared" si="107"/>
        <v>4.322854600610429</v>
      </c>
      <c r="T135" s="71">
        <f t="shared" si="107"/>
        <v>4.149940416586012</v>
      </c>
      <c r="U135" s="71">
        <f t="shared" si="107"/>
        <v>3.9903273236403964</v>
      </c>
      <c r="V135" s="71">
        <f t="shared" si="107"/>
        <v>3.842537422764826</v>
      </c>
      <c r="W135" s="71">
        <f t="shared" si="107"/>
        <v>3.705303943380368</v>
      </c>
      <c r="X135" s="71">
        <f t="shared" si="107"/>
        <v>3.577534841884493</v>
      </c>
      <c r="Y135" s="71">
        <f t="shared" si="107"/>
        <v>3.4582836804883432</v>
      </c>
    </row>
    <row r="136" spans="1:25" ht="15" customHeight="1" hidden="1" outlineLevel="1">
      <c r="A136" s="14"/>
      <c r="B136" s="8">
        <v>1</v>
      </c>
      <c r="C136" s="9">
        <f>C79</f>
        <v>10.634222317501656</v>
      </c>
      <c r="D136" s="79"/>
      <c r="E136" s="79"/>
      <c r="F136" s="70" t="s">
        <v>25</v>
      </c>
      <c r="G136" s="71">
        <f aca="true" t="shared" si="108" ref="G136:Y136">$B139*$B$6/G133^2*2/1000000</f>
        <v>13.239269390950986</v>
      </c>
      <c r="H136" s="71">
        <f t="shared" si="108"/>
        <v>11.28079758755587</v>
      </c>
      <c r="I136" s="71">
        <f t="shared" si="108"/>
        <v>9.76181523037397</v>
      </c>
      <c r="J136" s="71">
        <f t="shared" si="108"/>
        <v>8.580583041188122</v>
      </c>
      <c r="K136" s="71">
        <f t="shared" si="108"/>
        <v>7.610088697241539</v>
      </c>
      <c r="L136" s="71">
        <f t="shared" si="108"/>
        <v>6.80268050051989</v>
      </c>
      <c r="M136" s="71">
        <f t="shared" si="108"/>
        <v>6.1234921928184916</v>
      </c>
      <c r="N136" s="71">
        <f t="shared" si="108"/>
        <v>5.534104056662459</v>
      </c>
      <c r="O136" s="71">
        <f t="shared" si="108"/>
        <v>5.0124625732338846</v>
      </c>
      <c r="P136" s="71">
        <f t="shared" si="108"/>
        <v>4.562805441804691</v>
      </c>
      <c r="Q136" s="71">
        <f t="shared" si="108"/>
        <v>4.172413956697815</v>
      </c>
      <c r="R136" s="71">
        <f t="shared" si="108"/>
        <v>3.8312642275775253</v>
      </c>
      <c r="S136" s="71">
        <f t="shared" si="108"/>
        <v>3.5313693539904656</v>
      </c>
      <c r="T136" s="71">
        <f t="shared" si="108"/>
        <v>3.2545099966376125</v>
      </c>
      <c r="U136" s="71">
        <f t="shared" si="108"/>
        <v>3.0089774377196865</v>
      </c>
      <c r="V136" s="71">
        <f t="shared" si="108"/>
        <v>2.7902177611776513</v>
      </c>
      <c r="W136" s="71">
        <f t="shared" si="108"/>
        <v>2.594475443748097</v>
      </c>
      <c r="X136" s="71">
        <f t="shared" si="108"/>
        <v>2.418631091436989</v>
      </c>
      <c r="Y136" s="72">
        <f t="shared" si="108"/>
        <v>2.2600763865538975</v>
      </c>
    </row>
    <row r="137" spans="2:25" ht="15" customHeight="1" hidden="1" outlineLevel="1">
      <c r="B137" s="8"/>
      <c r="C137" s="9">
        <f>C80</f>
        <v>46.300213416497485</v>
      </c>
      <c r="D137" s="79"/>
      <c r="E137" s="79"/>
      <c r="F137" s="70" t="s">
        <v>26</v>
      </c>
      <c r="G137" s="71">
        <f aca="true" t="shared" si="109" ref="G137:Y137">1.27/(G132*1000000/($B140*$B$6)+0.5*G134/$C137)</f>
        <v>11.065706518666701</v>
      </c>
      <c r="H137" s="71">
        <f t="shared" si="109"/>
        <v>9.654441690835087</v>
      </c>
      <c r="I137" s="71">
        <f t="shared" si="109"/>
        <v>8.436238200519478</v>
      </c>
      <c r="J137" s="71">
        <f t="shared" si="109"/>
        <v>7.3462956732097515</v>
      </c>
      <c r="K137" s="71">
        <f t="shared" si="109"/>
        <v>6.440269693045775</v>
      </c>
      <c r="L137" s="71">
        <f t="shared" si="109"/>
        <v>5.680163549545666</v>
      </c>
      <c r="M137" s="71">
        <f t="shared" si="109"/>
        <v>5.0372014438584065</v>
      </c>
      <c r="N137" s="71">
        <f t="shared" si="109"/>
        <v>4.509004937496209</v>
      </c>
      <c r="O137" s="71">
        <f t="shared" si="109"/>
        <v>4.0811229555090165</v>
      </c>
      <c r="P137" s="71">
        <f t="shared" si="109"/>
        <v>3.708945663936491</v>
      </c>
      <c r="Q137" s="71">
        <f t="shared" si="109"/>
        <v>3.383325224318946</v>
      </c>
      <c r="R137" s="71">
        <f t="shared" si="109"/>
        <v>3.0969109406854405</v>
      </c>
      <c r="S137" s="71">
        <f t="shared" si="109"/>
        <v>2.8437417404181042</v>
      </c>
      <c r="T137" s="71">
        <f t="shared" si="109"/>
        <v>2.637476371805174</v>
      </c>
      <c r="U137" s="71">
        <f t="shared" si="109"/>
        <v>2.4529092324731057</v>
      </c>
      <c r="V137" s="71">
        <f t="shared" si="109"/>
        <v>2.287094724785998</v>
      </c>
      <c r="W137" s="71">
        <f t="shared" si="109"/>
        <v>2.1375714912506494</v>
      </c>
      <c r="X137" s="71">
        <f t="shared" si="109"/>
        <v>2.002269784913401</v>
      </c>
      <c r="Y137" s="72">
        <f t="shared" si="109"/>
        <v>1.8794389018695359</v>
      </c>
    </row>
    <row r="138" spans="2:25" ht="15" customHeight="1" collapsed="1">
      <c r="B138" s="8"/>
      <c r="C138" s="9">
        <f>C81</f>
        <v>38.72177153759831</v>
      </c>
      <c r="D138" s="122">
        <f>B136</f>
        <v>1</v>
      </c>
      <c r="E138" s="119">
        <v>11.78</v>
      </c>
      <c r="F138" s="70" t="s">
        <v>38</v>
      </c>
      <c r="G138" s="71">
        <f aca="true" t="shared" si="110" ref="G138:Y138">MIN(G135,G136,G137)</f>
        <v>8.370108081465295</v>
      </c>
      <c r="H138" s="71">
        <f t="shared" si="110"/>
        <v>7.726253613660272</v>
      </c>
      <c r="I138" s="71">
        <f t="shared" si="110"/>
        <v>7.187276419482192</v>
      </c>
      <c r="J138" s="71">
        <f t="shared" si="110"/>
        <v>6.738410364985367</v>
      </c>
      <c r="K138" s="71">
        <f t="shared" si="110"/>
        <v>6.345910104968287</v>
      </c>
      <c r="L138" s="71">
        <f t="shared" si="110"/>
        <v>5.680163549545666</v>
      </c>
      <c r="M138" s="71">
        <f t="shared" si="110"/>
        <v>5.0372014438584065</v>
      </c>
      <c r="N138" s="71">
        <f t="shared" si="110"/>
        <v>4.509004937496209</v>
      </c>
      <c r="O138" s="71">
        <f t="shared" si="110"/>
        <v>4.0811229555090165</v>
      </c>
      <c r="P138" s="71">
        <f t="shared" si="110"/>
        <v>3.708945663936491</v>
      </c>
      <c r="Q138" s="71">
        <f t="shared" si="110"/>
        <v>3.383325224318946</v>
      </c>
      <c r="R138" s="71">
        <f t="shared" si="110"/>
        <v>3.0969109406854405</v>
      </c>
      <c r="S138" s="71">
        <f t="shared" si="110"/>
        <v>2.8437417404181042</v>
      </c>
      <c r="T138" s="71">
        <f t="shared" si="110"/>
        <v>2.637476371805174</v>
      </c>
      <c r="U138" s="71">
        <f t="shared" si="110"/>
        <v>2.4529092324731057</v>
      </c>
      <c r="V138" s="71">
        <f t="shared" si="110"/>
        <v>2.287094724785998</v>
      </c>
      <c r="W138" s="71">
        <f t="shared" si="110"/>
        <v>2.1375714912506494</v>
      </c>
      <c r="X138" s="71">
        <f t="shared" si="110"/>
        <v>2.002269784913401</v>
      </c>
      <c r="Y138" s="72">
        <f t="shared" si="110"/>
        <v>1.8794389018695359</v>
      </c>
    </row>
    <row r="139" spans="1:25" ht="15" customHeight="1" hidden="1" outlineLevel="1">
      <c r="A139" s="15" t="s">
        <v>1</v>
      </c>
      <c r="B139" s="8">
        <f>C$4</f>
        <v>38400</v>
      </c>
      <c r="D139" s="120"/>
      <c r="E139" s="120"/>
      <c r="F139" s="70" t="s">
        <v>27</v>
      </c>
      <c r="G139" s="71">
        <f aca="true" t="shared" si="111" ref="G139:Y139">IF(G$38&lt;$P$4,IF(G$38&lt;$P$3,$Q$3*G$97,($Q$3+($Q$4-$Q$3)*(G$38-$P$3)/($P$4-$P$3))*G$97),IF(G$38&gt;6,0.9*G$97,($Q$4+(0.9-$Q$4)*(G$38-$P$4)/($P$5-$P$4))*G$97))</f>
        <v>0.666</v>
      </c>
      <c r="H139" s="71">
        <f t="shared" si="111"/>
        <v>0.7816249999999999</v>
      </c>
      <c r="I139" s="71">
        <f t="shared" si="111"/>
        <v>0.9065000000000001</v>
      </c>
      <c r="J139" s="71">
        <f t="shared" si="111"/>
        <v>1.07138671875</v>
      </c>
      <c r="K139" s="71">
        <f t="shared" si="111"/>
        <v>1.254</v>
      </c>
      <c r="L139" s="71">
        <f t="shared" si="111"/>
        <v>1.4551601562499998</v>
      </c>
      <c r="M139" s="71">
        <f t="shared" si="111"/>
        <v>1.6756874999999998</v>
      </c>
      <c r="N139" s="71">
        <f t="shared" si="111"/>
        <v>1.9113040865384616</v>
      </c>
      <c r="O139" s="71">
        <f t="shared" si="111"/>
        <v>2.144230769230769</v>
      </c>
      <c r="P139" s="71">
        <f t="shared" si="111"/>
        <v>2.3931670673076924</v>
      </c>
      <c r="Q139" s="71">
        <f t="shared" si="111"/>
        <v>2.6585096153846153</v>
      </c>
      <c r="R139" s="71">
        <f t="shared" si="111"/>
        <v>2.9406550480769234</v>
      </c>
      <c r="S139" s="71">
        <f t="shared" si="111"/>
        <v>3.24</v>
      </c>
      <c r="T139" s="71">
        <f t="shared" si="111"/>
        <v>3.515625</v>
      </c>
      <c r="U139" s="71">
        <f t="shared" si="111"/>
        <v>3.8024999999999998</v>
      </c>
      <c r="V139" s="71">
        <f t="shared" si="111"/>
        <v>4.100625000000001</v>
      </c>
      <c r="W139" s="71">
        <f t="shared" si="111"/>
        <v>4.41</v>
      </c>
      <c r="X139" s="71">
        <f t="shared" si="111"/>
        <v>4.730625</v>
      </c>
      <c r="Y139" s="72">
        <f t="shared" si="111"/>
        <v>5.0625</v>
      </c>
    </row>
    <row r="140" spans="1:25" ht="15" customHeight="1" hidden="1" outlineLevel="1">
      <c r="A140" s="15" t="s">
        <v>2</v>
      </c>
      <c r="B140" s="9">
        <f>D$4</f>
        <v>30970</v>
      </c>
      <c r="D140" s="120"/>
      <c r="E140" s="120"/>
      <c r="F140" s="70" t="s">
        <v>22</v>
      </c>
      <c r="G140" s="71">
        <f aca="true" t="shared" si="112" ref="G140:Y140">G$38/2-G139/G$38</f>
        <v>1.278</v>
      </c>
      <c r="H140" s="71">
        <f t="shared" si="112"/>
        <v>1.3845</v>
      </c>
      <c r="I140" s="71">
        <f t="shared" si="112"/>
        <v>1.491</v>
      </c>
      <c r="J140" s="71">
        <f t="shared" si="112"/>
        <v>1.589296875</v>
      </c>
      <c r="K140" s="71">
        <f t="shared" si="112"/>
        <v>1.6865</v>
      </c>
      <c r="L140" s="71">
        <f t="shared" si="112"/>
        <v>1.782609375</v>
      </c>
      <c r="M140" s="71">
        <f t="shared" si="112"/>
        <v>1.877625</v>
      </c>
      <c r="N140" s="71">
        <f t="shared" si="112"/>
        <v>1.9726201923076923</v>
      </c>
      <c r="O140" s="71">
        <f t="shared" si="112"/>
        <v>2.0711538461538463</v>
      </c>
      <c r="P140" s="71">
        <f t="shared" si="112"/>
        <v>2.169158653846154</v>
      </c>
      <c r="Q140" s="71">
        <f t="shared" si="112"/>
        <v>2.2666346153846155</v>
      </c>
      <c r="R140" s="71">
        <f t="shared" si="112"/>
        <v>2.363581730769231</v>
      </c>
      <c r="S140" s="71">
        <f t="shared" si="112"/>
        <v>2.46</v>
      </c>
      <c r="T140" s="71">
        <f t="shared" si="112"/>
        <v>2.5625</v>
      </c>
      <c r="U140" s="71">
        <f t="shared" si="112"/>
        <v>2.665</v>
      </c>
      <c r="V140" s="71">
        <f t="shared" si="112"/>
        <v>2.7675</v>
      </c>
      <c r="W140" s="71">
        <f t="shared" si="112"/>
        <v>2.87</v>
      </c>
      <c r="X140" s="71">
        <f t="shared" si="112"/>
        <v>2.9725</v>
      </c>
      <c r="Y140" s="72">
        <f t="shared" si="112"/>
        <v>3.075</v>
      </c>
    </row>
    <row r="141" spans="1:25" ht="15" customHeight="1" hidden="1" outlineLevel="1">
      <c r="A141" s="8" t="s">
        <v>3</v>
      </c>
      <c r="B141" s="17">
        <f>E$4</f>
        <v>2414000</v>
      </c>
      <c r="D141" s="120"/>
      <c r="E141" s="120"/>
      <c r="F141" s="70" t="s">
        <v>23</v>
      </c>
      <c r="G141" s="71">
        <f aca="true" t="shared" si="113" ref="G141:Y141">2*(G$38-G140)</f>
        <v>3.444</v>
      </c>
      <c r="H141" s="71">
        <f t="shared" si="113"/>
        <v>3.731</v>
      </c>
      <c r="I141" s="71">
        <f t="shared" si="113"/>
        <v>4.018</v>
      </c>
      <c r="J141" s="71">
        <f t="shared" si="113"/>
        <v>4.32140625</v>
      </c>
      <c r="K141" s="71">
        <f t="shared" si="113"/>
        <v>4.627</v>
      </c>
      <c r="L141" s="71">
        <f t="shared" si="113"/>
        <v>4.93478125</v>
      </c>
      <c r="M141" s="71">
        <f t="shared" si="113"/>
        <v>5.24475</v>
      </c>
      <c r="N141" s="71">
        <f t="shared" si="113"/>
        <v>5.554759615384615</v>
      </c>
      <c r="O141" s="71">
        <f t="shared" si="113"/>
        <v>5.857692307692307</v>
      </c>
      <c r="P141" s="71">
        <f t="shared" si="113"/>
        <v>6.161682692307692</v>
      </c>
      <c r="Q141" s="71">
        <f t="shared" si="113"/>
        <v>6.466730769230769</v>
      </c>
      <c r="R141" s="71">
        <f t="shared" si="113"/>
        <v>6.772836538461538</v>
      </c>
      <c r="S141" s="71">
        <f t="shared" si="113"/>
        <v>7.08</v>
      </c>
      <c r="T141" s="71">
        <f t="shared" si="113"/>
        <v>7.375</v>
      </c>
      <c r="U141" s="71">
        <f t="shared" si="113"/>
        <v>7.67</v>
      </c>
      <c r="V141" s="71">
        <f t="shared" si="113"/>
        <v>7.965</v>
      </c>
      <c r="W141" s="71">
        <f t="shared" si="113"/>
        <v>8.26</v>
      </c>
      <c r="X141" s="71">
        <f t="shared" si="113"/>
        <v>8.555</v>
      </c>
      <c r="Y141" s="72">
        <f t="shared" si="113"/>
        <v>8.85</v>
      </c>
    </row>
    <row r="142" spans="1:25" ht="15" customHeight="1" hidden="1" outlineLevel="1">
      <c r="A142" s="8"/>
      <c r="B142" s="17"/>
      <c r="D142" s="120"/>
      <c r="E142" s="120"/>
      <c r="F142" s="70" t="s">
        <v>24</v>
      </c>
      <c r="G142" s="71">
        <f aca="true" t="shared" si="114" ref="G142:Y142">$C136/G140</f>
        <v>8.320987728874535</v>
      </c>
      <c r="H142" s="71">
        <f t="shared" si="114"/>
        <v>7.68091174973034</v>
      </c>
      <c r="I142" s="71">
        <f t="shared" si="114"/>
        <v>7.132275196178173</v>
      </c>
      <c r="J142" s="71">
        <f t="shared" si="114"/>
        <v>6.691149076538426</v>
      </c>
      <c r="K142" s="71">
        <f t="shared" si="114"/>
        <v>6.305497964720816</v>
      </c>
      <c r="L142" s="71">
        <f t="shared" si="114"/>
        <v>5.965537075390763</v>
      </c>
      <c r="M142" s="71">
        <f t="shared" si="114"/>
        <v>5.663656117436472</v>
      </c>
      <c r="N142" s="71">
        <f t="shared" si="114"/>
        <v>5.390912228806241</v>
      </c>
      <c r="O142" s="71">
        <f t="shared" si="114"/>
        <v>5.134443458775173</v>
      </c>
      <c r="P142" s="71">
        <f t="shared" si="114"/>
        <v>4.902464049204527</v>
      </c>
      <c r="Q142" s="71">
        <f t="shared" si="114"/>
        <v>4.691635010478819</v>
      </c>
      <c r="R142" s="71">
        <f t="shared" si="114"/>
        <v>4.499198051442348</v>
      </c>
      <c r="S142" s="71">
        <f t="shared" si="114"/>
        <v>4.322854600610429</v>
      </c>
      <c r="T142" s="71">
        <f t="shared" si="114"/>
        <v>4.149940416586012</v>
      </c>
      <c r="U142" s="71">
        <f t="shared" si="114"/>
        <v>3.9903273236403964</v>
      </c>
      <c r="V142" s="71">
        <f t="shared" si="114"/>
        <v>3.842537422764826</v>
      </c>
      <c r="W142" s="71">
        <f t="shared" si="114"/>
        <v>3.705303943380368</v>
      </c>
      <c r="X142" s="71">
        <f t="shared" si="114"/>
        <v>3.577534841884493</v>
      </c>
      <c r="Y142" s="71">
        <f t="shared" si="114"/>
        <v>3.4582836804883432</v>
      </c>
    </row>
    <row r="143" spans="1:25" ht="15" customHeight="1" hidden="1" outlineLevel="1">
      <c r="A143" s="8" t="s">
        <v>28</v>
      </c>
      <c r="B143" s="17">
        <f>F$4</f>
        <v>1880000</v>
      </c>
      <c r="D143" s="120"/>
      <c r="E143" s="120"/>
      <c r="F143" s="70" t="s">
        <v>25</v>
      </c>
      <c r="G143" s="71">
        <f aca="true" t="shared" si="115" ref="G143:Y143">$B139*$B$6/G140^2*2/1000000</f>
        <v>13.084334863139969</v>
      </c>
      <c r="H143" s="71">
        <f t="shared" si="115"/>
        <v>11.148782368592634</v>
      </c>
      <c r="I143" s="71">
        <f t="shared" si="115"/>
        <v>9.6129807157763</v>
      </c>
      <c r="J143" s="71">
        <f t="shared" si="115"/>
        <v>8.46064161451538</v>
      </c>
      <c r="K143" s="71">
        <f t="shared" si="115"/>
        <v>7.51347190758185</v>
      </c>
      <c r="L143" s="71">
        <f t="shared" si="115"/>
        <v>6.725134671873623</v>
      </c>
      <c r="M143" s="71">
        <f t="shared" si="115"/>
        <v>6.0617167613786505</v>
      </c>
      <c r="N143" s="71">
        <f t="shared" si="115"/>
        <v>5.4919479082360425</v>
      </c>
      <c r="O143" s="71">
        <f t="shared" si="115"/>
        <v>4.981826961147959</v>
      </c>
      <c r="P143" s="71">
        <f t="shared" si="115"/>
        <v>4.541828408337255</v>
      </c>
      <c r="Q143" s="71">
        <f t="shared" si="115"/>
        <v>4.159588072369073</v>
      </c>
      <c r="R143" s="71">
        <f t="shared" si="115"/>
        <v>3.825358209701419</v>
      </c>
      <c r="S143" s="71">
        <f t="shared" si="115"/>
        <v>3.5313693539904656</v>
      </c>
      <c r="T143" s="71">
        <f t="shared" si="115"/>
        <v>3.2545099966376125</v>
      </c>
      <c r="U143" s="71">
        <f t="shared" si="115"/>
        <v>3.0089774377196865</v>
      </c>
      <c r="V143" s="71">
        <f t="shared" si="115"/>
        <v>2.7902177611776513</v>
      </c>
      <c r="W143" s="71">
        <f t="shared" si="115"/>
        <v>2.594475443748097</v>
      </c>
      <c r="X143" s="71">
        <f t="shared" si="115"/>
        <v>2.418631091436989</v>
      </c>
      <c r="Y143" s="72">
        <f t="shared" si="115"/>
        <v>2.2600763865538975</v>
      </c>
    </row>
    <row r="144" spans="1:25" ht="15" customHeight="1" hidden="1" outlineLevel="1">
      <c r="A144" s="9" t="s">
        <v>29</v>
      </c>
      <c r="B144" s="19">
        <f>0.65*B141+0.35*B143</f>
        <v>2227100</v>
      </c>
      <c r="D144" s="120"/>
      <c r="E144" s="120"/>
      <c r="F144" s="70" t="s">
        <v>26</v>
      </c>
      <c r="G144" s="71">
        <f aca="true" t="shared" si="116" ref="G144:Y144">1.27/(G139*1000000/($B140*$B$6)+0.5*G141/$C138)</f>
        <v>10.430906788884155</v>
      </c>
      <c r="H144" s="71">
        <f t="shared" si="116"/>
        <v>9.144810830219946</v>
      </c>
      <c r="I144" s="71">
        <f t="shared" si="116"/>
        <v>8.085414614157573</v>
      </c>
      <c r="J144" s="71">
        <f t="shared" si="116"/>
        <v>7.050692905100919</v>
      </c>
      <c r="K144" s="71">
        <f t="shared" si="116"/>
        <v>6.187257988942785</v>
      </c>
      <c r="L144" s="71">
        <f t="shared" si="116"/>
        <v>5.460548060609738</v>
      </c>
      <c r="M144" s="71">
        <f t="shared" si="116"/>
        <v>4.844188213663767</v>
      </c>
      <c r="N144" s="71">
        <f t="shared" si="116"/>
        <v>4.32688414771059</v>
      </c>
      <c r="O144" s="71">
        <f t="shared" si="116"/>
        <v>3.914266391503169</v>
      </c>
      <c r="P144" s="71">
        <f t="shared" si="116"/>
        <v>3.554774614546454</v>
      </c>
      <c r="Q144" s="71">
        <f t="shared" si="116"/>
        <v>3.2398354466206127</v>
      </c>
      <c r="R144" s="71">
        <f t="shared" si="116"/>
        <v>2.962528048118503</v>
      </c>
      <c r="S144" s="71">
        <f t="shared" si="116"/>
        <v>2.7172162083176</v>
      </c>
      <c r="T144" s="71">
        <f t="shared" si="116"/>
        <v>2.52393369979686</v>
      </c>
      <c r="U144" s="71">
        <f t="shared" si="116"/>
        <v>2.3506290472299707</v>
      </c>
      <c r="V144" s="71">
        <f t="shared" si="116"/>
        <v>2.1946329156979587</v>
      </c>
      <c r="W144" s="71">
        <f t="shared" si="116"/>
        <v>2.0537085531953085</v>
      </c>
      <c r="X144" s="71">
        <f t="shared" si="116"/>
        <v>1.925970105192993</v>
      </c>
      <c r="Y144" s="72">
        <f t="shared" si="116"/>
        <v>1.8098184157681787</v>
      </c>
    </row>
    <row r="145" spans="4:25" s="16" customFormat="1" ht="15" customHeight="1" collapsed="1">
      <c r="D145" s="120"/>
      <c r="E145" s="120"/>
      <c r="F145" s="73" t="s">
        <v>39</v>
      </c>
      <c r="G145" s="74">
        <f aca="true" t="shared" si="117" ref="G145:Y145">MIN(G142,G143,G144)</f>
        <v>8.320987728874535</v>
      </c>
      <c r="H145" s="74">
        <f t="shared" si="117"/>
        <v>7.68091174973034</v>
      </c>
      <c r="I145" s="74">
        <f t="shared" si="117"/>
        <v>7.132275196178173</v>
      </c>
      <c r="J145" s="74">
        <f t="shared" si="117"/>
        <v>6.691149076538426</v>
      </c>
      <c r="K145" s="74">
        <f t="shared" si="117"/>
        <v>6.187257988942785</v>
      </c>
      <c r="L145" s="74">
        <f t="shared" si="117"/>
        <v>5.460548060609738</v>
      </c>
      <c r="M145" s="74">
        <f t="shared" si="117"/>
        <v>4.844188213663767</v>
      </c>
      <c r="N145" s="74">
        <f t="shared" si="117"/>
        <v>4.32688414771059</v>
      </c>
      <c r="O145" s="74">
        <f t="shared" si="117"/>
        <v>3.914266391503169</v>
      </c>
      <c r="P145" s="74">
        <f t="shared" si="117"/>
        <v>3.554774614546454</v>
      </c>
      <c r="Q145" s="74">
        <f t="shared" si="117"/>
        <v>3.2398354466206127</v>
      </c>
      <c r="R145" s="74">
        <f t="shared" si="117"/>
        <v>2.962528048118503</v>
      </c>
      <c r="S145" s="74">
        <f t="shared" si="117"/>
        <v>2.7172162083176</v>
      </c>
      <c r="T145" s="74">
        <f t="shared" si="117"/>
        <v>2.52393369979686</v>
      </c>
      <c r="U145" s="74">
        <f t="shared" si="117"/>
        <v>2.3506290472299707</v>
      </c>
      <c r="V145" s="74">
        <f t="shared" si="117"/>
        <v>2.1946329156979587</v>
      </c>
      <c r="W145" s="74">
        <f t="shared" si="117"/>
        <v>2.0537085531953085</v>
      </c>
      <c r="X145" s="74">
        <f t="shared" si="117"/>
        <v>1.925970105192993</v>
      </c>
      <c r="Y145" s="74">
        <f t="shared" si="117"/>
        <v>1.8098184157681787</v>
      </c>
    </row>
    <row r="146" spans="4:25" s="8" customFormat="1" ht="15" customHeight="1">
      <c r="D146" s="120"/>
      <c r="E146" s="120"/>
      <c r="F146" s="70" t="s">
        <v>36</v>
      </c>
      <c r="G146" s="71">
        <f aca="true" t="shared" si="118" ref="G146:Y146">145*$B$7*$B144/(G$15*1000)^3/$B$11</f>
        <v>16.744492592592593</v>
      </c>
      <c r="H146" s="71">
        <f t="shared" si="118"/>
        <v>13.169996904870278</v>
      </c>
      <c r="I146" s="71">
        <f t="shared" si="118"/>
        <v>10.544636734693876</v>
      </c>
      <c r="J146" s="71">
        <f t="shared" si="118"/>
        <v>8.573180207407407</v>
      </c>
      <c r="K146" s="71">
        <f t="shared" si="118"/>
        <v>7.064082812500001</v>
      </c>
      <c r="L146" s="71">
        <f t="shared" si="118"/>
        <v>5.889371707714227</v>
      </c>
      <c r="M146" s="71">
        <f t="shared" si="118"/>
        <v>4.961331138545954</v>
      </c>
      <c r="N146" s="71">
        <f t="shared" si="118"/>
        <v>4.2184696311415655</v>
      </c>
      <c r="O146" s="71">
        <f t="shared" si="118"/>
        <v>3.6168104000000003</v>
      </c>
      <c r="P146" s="71">
        <f t="shared" si="118"/>
        <v>3.1243368102796674</v>
      </c>
      <c r="Q146" s="71">
        <f t="shared" si="118"/>
        <v>2.7173631855747558</v>
      </c>
      <c r="R146" s="71">
        <f t="shared" si="118"/>
        <v>2.378111547628832</v>
      </c>
      <c r="S146" s="71">
        <f t="shared" si="118"/>
        <v>2.093061574074074</v>
      </c>
      <c r="T146" s="71">
        <f t="shared" si="118"/>
        <v>1.8518069247999998</v>
      </c>
      <c r="U146" s="71">
        <f t="shared" si="118"/>
        <v>1.6462496131087847</v>
      </c>
      <c r="V146" s="71">
        <f t="shared" si="118"/>
        <v>1.4700240410506529</v>
      </c>
      <c r="W146" s="71">
        <f t="shared" si="118"/>
        <v>1.3180795918367345</v>
      </c>
      <c r="X146" s="71">
        <f t="shared" si="118"/>
        <v>1.1863743162901308</v>
      </c>
      <c r="Y146" s="72">
        <f t="shared" si="118"/>
        <v>1.071647525925926</v>
      </c>
    </row>
    <row r="147" spans="4:25" s="11" customFormat="1" ht="15" customHeight="1">
      <c r="D147" s="121"/>
      <c r="E147" s="121"/>
      <c r="F147" s="76" t="s">
        <v>37</v>
      </c>
      <c r="G147" s="77">
        <f aca="true" t="shared" si="119" ref="G147:Y147">G146*$B$11/$B$12</f>
        <v>8.372246296296296</v>
      </c>
      <c r="H147" s="77">
        <f t="shared" si="119"/>
        <v>6.584998452435139</v>
      </c>
      <c r="I147" s="77">
        <f t="shared" si="119"/>
        <v>5.272318367346938</v>
      </c>
      <c r="J147" s="77">
        <f t="shared" si="119"/>
        <v>4.286590103703704</v>
      </c>
      <c r="K147" s="77">
        <f t="shared" si="119"/>
        <v>3.5320414062500003</v>
      </c>
      <c r="L147" s="77">
        <f t="shared" si="119"/>
        <v>2.9446858538571137</v>
      </c>
      <c r="M147" s="77">
        <f t="shared" si="119"/>
        <v>2.480665569272977</v>
      </c>
      <c r="N147" s="77">
        <f t="shared" si="119"/>
        <v>2.1092348155707827</v>
      </c>
      <c r="O147" s="77">
        <f t="shared" si="119"/>
        <v>1.8084052000000002</v>
      </c>
      <c r="P147" s="77">
        <f t="shared" si="119"/>
        <v>1.5621684051398337</v>
      </c>
      <c r="Q147" s="77">
        <f t="shared" si="119"/>
        <v>1.3586815927873779</v>
      </c>
      <c r="R147" s="77">
        <f t="shared" si="119"/>
        <v>1.189055773814416</v>
      </c>
      <c r="S147" s="77">
        <f t="shared" si="119"/>
        <v>1.046530787037037</v>
      </c>
      <c r="T147" s="77">
        <f t="shared" si="119"/>
        <v>0.9259034623999999</v>
      </c>
      <c r="U147" s="77">
        <f t="shared" si="119"/>
        <v>0.8231248065543924</v>
      </c>
      <c r="V147" s="77">
        <f t="shared" si="119"/>
        <v>0.7350120205253264</v>
      </c>
      <c r="W147" s="77">
        <f t="shared" si="119"/>
        <v>0.6590397959183673</v>
      </c>
      <c r="X147" s="77">
        <f t="shared" si="119"/>
        <v>0.5931871581450654</v>
      </c>
      <c r="Y147" s="78">
        <f t="shared" si="119"/>
        <v>0.535823762962963</v>
      </c>
    </row>
    <row r="149" spans="7:25" ht="13.5" thickBot="1">
      <c r="G149" s="84">
        <v>3</v>
      </c>
      <c r="H149" s="84">
        <v>3.25</v>
      </c>
      <c r="I149" s="84">
        <v>3.5</v>
      </c>
      <c r="J149" s="84">
        <v>3.75</v>
      </c>
      <c r="K149" s="84">
        <v>4</v>
      </c>
      <c r="L149" s="84">
        <v>4.25</v>
      </c>
      <c r="M149" s="84">
        <v>4.5</v>
      </c>
      <c r="N149" s="84">
        <v>4.75</v>
      </c>
      <c r="O149" s="84">
        <v>5</v>
      </c>
      <c r="P149" s="84">
        <v>5.25</v>
      </c>
      <c r="Q149" s="84">
        <v>5.5</v>
      </c>
      <c r="R149" s="84">
        <v>5.75</v>
      </c>
      <c r="S149" s="84">
        <v>6</v>
      </c>
      <c r="T149" s="84">
        <v>6.25</v>
      </c>
      <c r="U149" s="84">
        <v>6.5</v>
      </c>
      <c r="V149" s="84">
        <v>6.75</v>
      </c>
      <c r="W149" s="84">
        <v>7</v>
      </c>
      <c r="X149" s="84">
        <v>7.25</v>
      </c>
      <c r="Y149" s="68">
        <v>7.5</v>
      </c>
    </row>
  </sheetData>
  <sheetProtection password="DC29" sheet="1" objects="1" scenarios="1"/>
  <mergeCells count="18">
    <mergeCell ref="D19:D21"/>
    <mergeCell ref="D25:D27"/>
    <mergeCell ref="D31:D33"/>
    <mergeCell ref="D47:D56"/>
    <mergeCell ref="D138:D147"/>
    <mergeCell ref="D64:D73"/>
    <mergeCell ref="D81:D90"/>
    <mergeCell ref="D104:D113"/>
    <mergeCell ref="D121:D130"/>
    <mergeCell ref="E19:E21"/>
    <mergeCell ref="E25:E27"/>
    <mergeCell ref="E31:E33"/>
    <mergeCell ref="E47:E56"/>
    <mergeCell ref="E138:E147"/>
    <mergeCell ref="E64:E73"/>
    <mergeCell ref="E81:E90"/>
    <mergeCell ref="E104:E113"/>
    <mergeCell ref="E121:E130"/>
  </mergeCells>
  <printOptions/>
  <pageMargins left="0.2362204724409449" right="0.1968503937007874" top="0.3937007874015748" bottom="0.3937007874015748" header="0.5118110236220472" footer="0.5118110236220472"/>
  <pageSetup horizontalDpi="360" verticalDpi="360" orientation="portrait" paperSize="9" r:id="rId4"/>
  <drawing r:id="rId3"/>
  <legacyDrawing r:id="rId2"/>
  <oleObjects>
    <oleObject progId="CDraw5" shapeId="9674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F149"/>
  <sheetViews>
    <sheetView workbookViewId="0" topLeftCell="D9">
      <selection activeCell="G149" sqref="G149"/>
    </sheetView>
  </sheetViews>
  <sheetFormatPr defaultColWidth="9.00390625" defaultRowHeight="12.75" outlineLevelRow="1" outlineLevelCol="1"/>
  <cols>
    <col min="1" max="1" width="12.375" style="23" hidden="1" customWidth="1"/>
    <col min="2" max="2" width="9.25390625" style="23" hidden="1" customWidth="1"/>
    <col min="3" max="3" width="9.75390625" style="23" hidden="1" customWidth="1" outlineLevel="1"/>
    <col min="4" max="4" width="4.875" style="112" customWidth="1" collapsed="1"/>
    <col min="5" max="5" width="4.875" style="113" customWidth="1"/>
    <col min="6" max="6" width="6.75390625" style="113" customWidth="1"/>
    <col min="7" max="25" width="4.375" style="88" customWidth="1"/>
    <col min="26" max="29" width="7.00390625" style="23" customWidth="1"/>
    <col min="30" max="16384" width="9.125" style="23" customWidth="1"/>
  </cols>
  <sheetData>
    <row r="1" spans="1:17" ht="15.75" hidden="1">
      <c r="A1" s="20" t="s">
        <v>0</v>
      </c>
      <c r="B1" s="21"/>
      <c r="C1" s="22" t="s">
        <v>1</v>
      </c>
      <c r="D1" s="86" t="s">
        <v>2</v>
      </c>
      <c r="E1" s="87" t="s">
        <v>3</v>
      </c>
      <c r="F1" s="87" t="s">
        <v>4</v>
      </c>
      <c r="H1" s="89" t="s">
        <v>5</v>
      </c>
      <c r="I1" s="89" t="s">
        <v>6</v>
      </c>
      <c r="J1" s="89"/>
      <c r="L1" s="90"/>
      <c r="M1" s="88" t="s">
        <v>7</v>
      </c>
      <c r="P1" s="34" t="s">
        <v>8</v>
      </c>
      <c r="Q1" s="34"/>
    </row>
    <row r="2" spans="1:25" s="21" customFormat="1" ht="12.75" hidden="1">
      <c r="A2" s="24">
        <v>0.75</v>
      </c>
      <c r="B2" s="25">
        <v>350</v>
      </c>
      <c r="C2" s="25">
        <v>20970</v>
      </c>
      <c r="D2" s="91">
        <v>23227.5</v>
      </c>
      <c r="E2" s="91">
        <v>1670000</v>
      </c>
      <c r="F2" s="92">
        <v>1165000</v>
      </c>
      <c r="G2" s="93"/>
      <c r="H2" s="94">
        <f>(1+0.11*A2)*H6</f>
        <v>7.015419952478008</v>
      </c>
      <c r="I2" s="94">
        <v>27.200790140838723</v>
      </c>
      <c r="J2" s="95">
        <v>32.71745396811041</v>
      </c>
      <c r="K2" s="93"/>
      <c r="L2" s="93"/>
      <c r="M2" s="96">
        <v>0</v>
      </c>
      <c r="N2" s="96">
        <v>0.765</v>
      </c>
      <c r="O2" s="97"/>
      <c r="P2" s="40">
        <v>0</v>
      </c>
      <c r="Q2" s="40">
        <v>0.74</v>
      </c>
      <c r="R2" s="97"/>
      <c r="S2" s="97"/>
      <c r="T2" s="97"/>
      <c r="U2" s="97"/>
      <c r="V2" s="97"/>
      <c r="W2" s="97"/>
      <c r="X2" s="97"/>
      <c r="Y2" s="97"/>
    </row>
    <row r="3" spans="1:25" s="21" customFormat="1" ht="12.75" hidden="1">
      <c r="A3" s="24">
        <v>0.88</v>
      </c>
      <c r="B3" s="25">
        <v>350</v>
      </c>
      <c r="C3" s="24">
        <v>25690</v>
      </c>
      <c r="D3" s="91">
        <v>27253.6</v>
      </c>
      <c r="E3" s="91">
        <v>1940000</v>
      </c>
      <c r="F3" s="92">
        <v>1555000</v>
      </c>
      <c r="G3" s="93"/>
      <c r="H3" s="94">
        <f>(1+0.11*A3)*H7</f>
        <v>9.799756326209328</v>
      </c>
      <c r="I3" s="94">
        <v>36.7291225286836</v>
      </c>
      <c r="J3" s="95">
        <v>44.03574194953012</v>
      </c>
      <c r="K3" s="93"/>
      <c r="L3" s="93"/>
      <c r="M3" s="96">
        <v>3.4</v>
      </c>
      <c r="N3" s="96">
        <v>0.765</v>
      </c>
      <c r="O3" s="97"/>
      <c r="P3" s="40">
        <v>3.5</v>
      </c>
      <c r="Q3" s="40">
        <v>0.74</v>
      </c>
      <c r="R3" s="97"/>
      <c r="S3" s="97"/>
      <c r="T3" s="97"/>
      <c r="U3" s="97"/>
      <c r="V3" s="97"/>
      <c r="W3" s="97"/>
      <c r="X3" s="97"/>
      <c r="Y3" s="97"/>
    </row>
    <row r="4" spans="1:25" s="21" customFormat="1" ht="12.75" hidden="1">
      <c r="A4" s="24">
        <v>1</v>
      </c>
      <c r="B4" s="25">
        <v>350</v>
      </c>
      <c r="C4" s="24">
        <v>36720</v>
      </c>
      <c r="D4" s="91">
        <v>30970</v>
      </c>
      <c r="E4" s="91">
        <v>2414000</v>
      </c>
      <c r="F4" s="92">
        <v>1880000</v>
      </c>
      <c r="G4" s="93"/>
      <c r="H4" s="94">
        <f>(1+0.11*A4)*H8</f>
        <v>12.789766294099651</v>
      </c>
      <c r="I4" s="94">
        <v>46.570627703009265</v>
      </c>
      <c r="J4" s="98">
        <v>55.68521056677146</v>
      </c>
      <c r="K4" s="93"/>
      <c r="L4" s="93"/>
      <c r="M4" s="96">
        <v>4.65</v>
      </c>
      <c r="N4" s="96">
        <v>0.86</v>
      </c>
      <c r="O4" s="97"/>
      <c r="P4" s="40">
        <v>4.7</v>
      </c>
      <c r="Q4" s="40">
        <v>0.845</v>
      </c>
      <c r="R4" s="97"/>
      <c r="S4" s="97"/>
      <c r="T4" s="97"/>
      <c r="U4" s="97"/>
      <c r="V4" s="97"/>
      <c r="W4" s="97"/>
      <c r="X4" s="97"/>
      <c r="Y4" s="97"/>
    </row>
    <row r="5" spans="3:25" ht="12.75" hidden="1">
      <c r="C5" s="26"/>
      <c r="D5" s="99"/>
      <c r="E5" s="99"/>
      <c r="F5" s="99"/>
      <c r="G5" s="99"/>
      <c r="H5" s="89"/>
      <c r="I5" s="89">
        <v>100</v>
      </c>
      <c r="J5" s="89">
        <v>160</v>
      </c>
      <c r="K5" s="100"/>
      <c r="L5" s="100"/>
      <c r="M5" s="96">
        <v>6</v>
      </c>
      <c r="N5" s="96">
        <v>0.9</v>
      </c>
      <c r="O5" s="100"/>
      <c r="P5" s="40">
        <v>6</v>
      </c>
      <c r="Q5" s="40">
        <v>0.9</v>
      </c>
      <c r="R5" s="100"/>
      <c r="S5" s="100"/>
      <c r="T5" s="100"/>
      <c r="U5" s="100"/>
      <c r="V5" s="100"/>
      <c r="W5" s="100"/>
      <c r="X5" s="100"/>
      <c r="Y5" s="100"/>
    </row>
    <row r="6" spans="1:25" ht="12.75" hidden="1">
      <c r="A6" s="21" t="s">
        <v>9</v>
      </c>
      <c r="B6" s="21">
        <f>B4/E9</f>
        <v>304.34782608695656</v>
      </c>
      <c r="C6" s="27"/>
      <c r="D6" s="99"/>
      <c r="E6" s="99"/>
      <c r="F6" s="99"/>
      <c r="H6" s="94">
        <v>6.4807574618734485</v>
      </c>
      <c r="I6" s="101"/>
      <c r="J6" s="102"/>
      <c r="K6" s="10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6.5" customHeight="1" hidden="1">
      <c r="A7" s="21" t="s">
        <v>10</v>
      </c>
      <c r="B7" s="21">
        <v>210000</v>
      </c>
      <c r="C7" s="27"/>
      <c r="D7" s="99"/>
      <c r="E7" s="99"/>
      <c r="F7" s="105"/>
      <c r="H7" s="94">
        <v>8.934861712444683</v>
      </c>
      <c r="I7" s="101"/>
      <c r="J7" s="102"/>
      <c r="K7" s="103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2.75" hidden="1">
      <c r="A8" s="21"/>
      <c r="B8" s="21"/>
      <c r="C8" s="27"/>
      <c r="D8" s="99"/>
      <c r="E8" s="99"/>
      <c r="F8" s="99"/>
      <c r="H8" s="94">
        <v>11.522311976666352</v>
      </c>
      <c r="I8" s="101"/>
      <c r="J8" s="102"/>
      <c r="K8" s="103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5.75">
      <c r="A9" s="21"/>
      <c r="B9" s="21"/>
      <c r="C9" s="21"/>
      <c r="D9" s="46" t="s">
        <v>32</v>
      </c>
      <c r="E9" s="106">
        <v>1.15</v>
      </c>
      <c r="F9" s="104"/>
      <c r="G9" s="104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2.75">
      <c r="A10" s="21" t="s">
        <v>30</v>
      </c>
      <c r="B10" s="21"/>
      <c r="C10" s="21"/>
      <c r="D10" s="104"/>
      <c r="E10" s="104"/>
      <c r="F10" s="104"/>
      <c r="G10" s="104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20.25">
      <c r="A11" s="21"/>
      <c r="B11" s="21">
        <v>150</v>
      </c>
      <c r="D11" s="107" t="str">
        <f>$A$1</f>
        <v>TR 110/333</v>
      </c>
      <c r="E11" s="108"/>
      <c r="F11" s="109"/>
      <c r="G11" s="110"/>
      <c r="H11" s="111" t="s">
        <v>31</v>
      </c>
      <c r="J11" s="112"/>
      <c r="K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2.75">
      <c r="A12" s="21"/>
      <c r="B12" s="21">
        <v>300</v>
      </c>
      <c r="G12" s="112"/>
      <c r="H12" s="112"/>
      <c r="I12" s="112"/>
      <c r="J12" s="112"/>
      <c r="K12" s="112"/>
      <c r="L12" s="112"/>
      <c r="M12" s="112"/>
      <c r="N12" s="90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12" ht="12.75">
      <c r="A13" s="21"/>
      <c r="B13" s="21"/>
      <c r="G13" s="112"/>
      <c r="J13" s="90"/>
      <c r="L13" s="114" t="s">
        <v>40</v>
      </c>
    </row>
    <row r="14" spans="1:25" s="29" customFormat="1" ht="15.75">
      <c r="A14" s="28" t="s">
        <v>12</v>
      </c>
      <c r="D14" s="115"/>
      <c r="E14" s="116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s="13" customFormat="1" ht="18" customHeight="1" thickBot="1">
      <c r="A15" s="12"/>
      <c r="B15" s="12" t="s">
        <v>13</v>
      </c>
      <c r="C15" s="12" t="s">
        <v>14</v>
      </c>
      <c r="D15" s="64" t="s">
        <v>15</v>
      </c>
      <c r="E15" s="65" t="s">
        <v>34</v>
      </c>
      <c r="F15" s="66" t="s">
        <v>16</v>
      </c>
      <c r="G15" s="67">
        <v>3</v>
      </c>
      <c r="H15" s="67">
        <f aca="true" t="shared" si="0" ref="H15:Y15">G15+0.25</f>
        <v>3.25</v>
      </c>
      <c r="I15" s="67">
        <f t="shared" si="0"/>
        <v>3.5</v>
      </c>
      <c r="J15" s="67">
        <f t="shared" si="0"/>
        <v>3.75</v>
      </c>
      <c r="K15" s="67">
        <f t="shared" si="0"/>
        <v>4</v>
      </c>
      <c r="L15" s="67">
        <f t="shared" si="0"/>
        <v>4.25</v>
      </c>
      <c r="M15" s="67">
        <f t="shared" si="0"/>
        <v>4.5</v>
      </c>
      <c r="N15" s="67">
        <f t="shared" si="0"/>
        <v>4.75</v>
      </c>
      <c r="O15" s="67">
        <f t="shared" si="0"/>
        <v>5</v>
      </c>
      <c r="P15" s="67">
        <f t="shared" si="0"/>
        <v>5.25</v>
      </c>
      <c r="Q15" s="67">
        <f t="shared" si="0"/>
        <v>5.5</v>
      </c>
      <c r="R15" s="67">
        <f t="shared" si="0"/>
        <v>5.75</v>
      </c>
      <c r="S15" s="67">
        <f t="shared" si="0"/>
        <v>6</v>
      </c>
      <c r="T15" s="67">
        <f t="shared" si="0"/>
        <v>6.25</v>
      </c>
      <c r="U15" s="67">
        <f t="shared" si="0"/>
        <v>6.5</v>
      </c>
      <c r="V15" s="67">
        <f t="shared" si="0"/>
        <v>6.75</v>
      </c>
      <c r="W15" s="67">
        <f t="shared" si="0"/>
        <v>7</v>
      </c>
      <c r="X15" s="67">
        <f t="shared" si="0"/>
        <v>7.25</v>
      </c>
      <c r="Y15" s="68">
        <f t="shared" si="0"/>
        <v>7.5</v>
      </c>
    </row>
    <row r="16" spans="1:25" s="9" customFormat="1" ht="15" customHeight="1" hidden="1" outlineLevel="1">
      <c r="A16" s="14" t="s">
        <v>17</v>
      </c>
      <c r="B16" s="8"/>
      <c r="D16" s="69"/>
      <c r="E16" s="69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2"/>
    </row>
    <row r="17" spans="1:25" s="9" customFormat="1" ht="15" customHeight="1" hidden="1" outlineLevel="1">
      <c r="A17" s="14"/>
      <c r="B17" s="8">
        <v>0.75</v>
      </c>
      <c r="D17" s="69"/>
      <c r="E17" s="69"/>
      <c r="F17" s="70" t="s">
        <v>18</v>
      </c>
      <c r="G17" s="71">
        <f aca="true" t="shared" si="1" ref="G17:Y17">8/G$15^2*$B19*$B$6/1000000</f>
        <v>5.67304347826087</v>
      </c>
      <c r="H17" s="71">
        <f t="shared" si="1"/>
        <v>4.8338358631335225</v>
      </c>
      <c r="I17" s="71">
        <f t="shared" si="1"/>
        <v>4.167950310559006</v>
      </c>
      <c r="J17" s="71">
        <f t="shared" si="1"/>
        <v>3.630747826086957</v>
      </c>
      <c r="K17" s="71">
        <f t="shared" si="1"/>
        <v>3.19108695652174</v>
      </c>
      <c r="L17" s="71">
        <f t="shared" si="1"/>
        <v>2.826706785015797</v>
      </c>
      <c r="M17" s="71">
        <f t="shared" si="1"/>
        <v>2.521352657004831</v>
      </c>
      <c r="N17" s="71">
        <f t="shared" si="1"/>
        <v>2.2629314705528123</v>
      </c>
      <c r="O17" s="71">
        <f t="shared" si="1"/>
        <v>2.0422956521739137</v>
      </c>
      <c r="P17" s="71">
        <f t="shared" si="1"/>
        <v>1.8524223602484475</v>
      </c>
      <c r="Q17" s="71">
        <f t="shared" si="1"/>
        <v>1.6878476464247218</v>
      </c>
      <c r="R17" s="71">
        <f t="shared" si="1"/>
        <v>1.5442689241390648</v>
      </c>
      <c r="S17" s="71">
        <f t="shared" si="1"/>
        <v>1.4182608695652175</v>
      </c>
      <c r="T17" s="71">
        <f t="shared" si="1"/>
        <v>1.3070692173913045</v>
      </c>
      <c r="U17" s="71">
        <f t="shared" si="1"/>
        <v>1.2084589657833806</v>
      </c>
      <c r="V17" s="71">
        <f t="shared" si="1"/>
        <v>1.120601180891036</v>
      </c>
      <c r="W17" s="71">
        <f t="shared" si="1"/>
        <v>1.0419875776397516</v>
      </c>
      <c r="X17" s="71">
        <f t="shared" si="1"/>
        <v>0.9713653518068553</v>
      </c>
      <c r="Y17" s="72">
        <f t="shared" si="1"/>
        <v>0.9076869565217393</v>
      </c>
    </row>
    <row r="18" spans="2:25" s="9" customFormat="1" ht="15" customHeight="1" hidden="1" outlineLevel="1">
      <c r="B18" s="8"/>
      <c r="C18" s="9">
        <f>H2/E$9</f>
        <v>6.100365176067833</v>
      </c>
      <c r="D18" s="69"/>
      <c r="E18" s="69"/>
      <c r="F18" s="70" t="s">
        <v>19</v>
      </c>
      <c r="G18" s="71">
        <f aca="true" t="shared" si="2" ref="G18:Y18">2*$C18/G$15</f>
        <v>4.066910117378556</v>
      </c>
      <c r="H18" s="71">
        <f t="shared" si="2"/>
        <v>3.754070877580205</v>
      </c>
      <c r="I18" s="71">
        <f t="shared" si="2"/>
        <v>3.4859229577530475</v>
      </c>
      <c r="J18" s="71">
        <f t="shared" si="2"/>
        <v>3.2535280939028444</v>
      </c>
      <c r="K18" s="71">
        <f t="shared" si="2"/>
        <v>3.0501825880339166</v>
      </c>
      <c r="L18" s="71">
        <f t="shared" si="2"/>
        <v>2.870760082855451</v>
      </c>
      <c r="M18" s="71">
        <f t="shared" si="2"/>
        <v>2.7112734115857036</v>
      </c>
      <c r="N18" s="71">
        <f t="shared" si="2"/>
        <v>2.56857481097593</v>
      </c>
      <c r="O18" s="71">
        <f t="shared" si="2"/>
        <v>2.4401460704271334</v>
      </c>
      <c r="P18" s="71">
        <f t="shared" si="2"/>
        <v>2.323948638502032</v>
      </c>
      <c r="Q18" s="71">
        <f t="shared" si="2"/>
        <v>2.218314609479212</v>
      </c>
      <c r="R18" s="71">
        <f t="shared" si="2"/>
        <v>2.1218661481975074</v>
      </c>
      <c r="S18" s="71">
        <f t="shared" si="2"/>
        <v>2.033455058689278</v>
      </c>
      <c r="T18" s="71">
        <f t="shared" si="2"/>
        <v>1.9521168563417066</v>
      </c>
      <c r="U18" s="71">
        <f t="shared" si="2"/>
        <v>1.8770354387901025</v>
      </c>
      <c r="V18" s="71">
        <f t="shared" si="2"/>
        <v>1.8075156077238024</v>
      </c>
      <c r="W18" s="71">
        <f t="shared" si="2"/>
        <v>1.7429614788765238</v>
      </c>
      <c r="X18" s="71">
        <f t="shared" si="2"/>
        <v>1.6828593589152643</v>
      </c>
      <c r="Y18" s="72">
        <f t="shared" si="2"/>
        <v>1.6267640469514222</v>
      </c>
    </row>
    <row r="19" spans="1:30" s="9" customFormat="1" ht="15" customHeight="1" collapsed="1">
      <c r="A19" s="15" t="s">
        <v>1</v>
      </c>
      <c r="B19" s="8">
        <f>C$2</f>
        <v>20970</v>
      </c>
      <c r="D19" s="122">
        <f>B17</f>
        <v>0.75</v>
      </c>
      <c r="E19" s="119">
        <v>8.84</v>
      </c>
      <c r="F19" s="73" t="s">
        <v>35</v>
      </c>
      <c r="G19" s="74">
        <f aca="true" t="shared" si="3" ref="G19:Y19">MIN(G17,G18)</f>
        <v>4.066910117378556</v>
      </c>
      <c r="H19" s="74">
        <f t="shared" si="3"/>
        <v>3.754070877580205</v>
      </c>
      <c r="I19" s="74">
        <f t="shared" si="3"/>
        <v>3.4859229577530475</v>
      </c>
      <c r="J19" s="74">
        <f t="shared" si="3"/>
        <v>3.2535280939028444</v>
      </c>
      <c r="K19" s="74">
        <f t="shared" si="3"/>
        <v>3.0501825880339166</v>
      </c>
      <c r="L19" s="74">
        <f t="shared" si="3"/>
        <v>2.826706785015797</v>
      </c>
      <c r="M19" s="74">
        <f t="shared" si="3"/>
        <v>2.521352657004831</v>
      </c>
      <c r="N19" s="74">
        <f t="shared" si="3"/>
        <v>2.2629314705528123</v>
      </c>
      <c r="O19" s="74">
        <f t="shared" si="3"/>
        <v>2.0422956521739137</v>
      </c>
      <c r="P19" s="74">
        <f t="shared" si="3"/>
        <v>1.8524223602484475</v>
      </c>
      <c r="Q19" s="74">
        <f t="shared" si="3"/>
        <v>1.6878476464247218</v>
      </c>
      <c r="R19" s="74">
        <f t="shared" si="3"/>
        <v>1.5442689241390648</v>
      </c>
      <c r="S19" s="74">
        <f t="shared" si="3"/>
        <v>1.4182608695652175</v>
      </c>
      <c r="T19" s="74">
        <f t="shared" si="3"/>
        <v>1.3070692173913045</v>
      </c>
      <c r="U19" s="74">
        <f t="shared" si="3"/>
        <v>1.2084589657833806</v>
      </c>
      <c r="V19" s="74">
        <f t="shared" si="3"/>
        <v>1.120601180891036</v>
      </c>
      <c r="W19" s="74">
        <f t="shared" si="3"/>
        <v>1.0419875776397516</v>
      </c>
      <c r="X19" s="74">
        <f t="shared" si="3"/>
        <v>0.9713653518068553</v>
      </c>
      <c r="Y19" s="75">
        <f t="shared" si="3"/>
        <v>0.9076869565217393</v>
      </c>
      <c r="Z19" s="16"/>
      <c r="AA19" s="16"/>
      <c r="AB19" s="16"/>
      <c r="AC19" s="16"/>
      <c r="AD19" s="16"/>
    </row>
    <row r="20" spans="1:25" s="8" customFormat="1" ht="15" customHeight="1">
      <c r="A20" s="15" t="s">
        <v>2</v>
      </c>
      <c r="B20" s="9">
        <f>D$2</f>
        <v>23227.5</v>
      </c>
      <c r="D20" s="123"/>
      <c r="E20" s="120"/>
      <c r="F20" s="70" t="s">
        <v>36</v>
      </c>
      <c r="G20" s="71">
        <f aca="true" t="shared" si="4" ref="G20:Y20">384/5*$B$7*$B21/(G$15*1000)^3/$B$11</f>
        <v>6.650311111111111</v>
      </c>
      <c r="H20" s="71">
        <f t="shared" si="4"/>
        <v>5.230649795175239</v>
      </c>
      <c r="I20" s="71">
        <f t="shared" si="4"/>
        <v>4.187951020408163</v>
      </c>
      <c r="J20" s="71">
        <f t="shared" si="4"/>
        <v>3.404959288888889</v>
      </c>
      <c r="K20" s="71">
        <f t="shared" si="4"/>
        <v>2.8055999999999996</v>
      </c>
      <c r="L20" s="71">
        <f t="shared" si="4"/>
        <v>2.339046936698555</v>
      </c>
      <c r="M20" s="71">
        <f t="shared" si="4"/>
        <v>1.9704625514403293</v>
      </c>
      <c r="N20" s="71">
        <f t="shared" si="4"/>
        <v>1.6754246391602274</v>
      </c>
      <c r="O20" s="71">
        <f t="shared" si="4"/>
        <v>1.4364672</v>
      </c>
      <c r="P20" s="71">
        <f t="shared" si="4"/>
        <v>1.2408743764172336</v>
      </c>
      <c r="Q20" s="71">
        <f t="shared" si="4"/>
        <v>1.079239068369647</v>
      </c>
      <c r="R20" s="71">
        <f t="shared" si="4"/>
        <v>0.9445005013561272</v>
      </c>
      <c r="S20" s="71">
        <f t="shared" si="4"/>
        <v>0.8312888888888889</v>
      </c>
      <c r="T20" s="71">
        <f t="shared" si="4"/>
        <v>0.7354712064000001</v>
      </c>
      <c r="U20" s="71">
        <f t="shared" si="4"/>
        <v>0.6538312243969049</v>
      </c>
      <c r="V20" s="71">
        <f t="shared" si="4"/>
        <v>0.5838407559823198</v>
      </c>
      <c r="W20" s="71">
        <f t="shared" si="4"/>
        <v>0.5234938775510204</v>
      </c>
      <c r="X20" s="71">
        <f t="shared" si="4"/>
        <v>0.4711852720488745</v>
      </c>
      <c r="Y20" s="72">
        <f t="shared" si="4"/>
        <v>0.42561991111111114</v>
      </c>
    </row>
    <row r="21" spans="1:25" s="11" customFormat="1" ht="15" customHeight="1">
      <c r="A21" s="8" t="s">
        <v>3</v>
      </c>
      <c r="B21" s="8">
        <f>E$2</f>
        <v>1670000</v>
      </c>
      <c r="D21" s="124"/>
      <c r="E21" s="121"/>
      <c r="F21" s="76" t="s">
        <v>37</v>
      </c>
      <c r="G21" s="77">
        <f aca="true" t="shared" si="5" ref="G21:Y21">384/5*$B$7*$B21/(G$15*1000)^3/$B$12</f>
        <v>3.3251555555555554</v>
      </c>
      <c r="H21" s="77">
        <f t="shared" si="5"/>
        <v>2.6153248975876195</v>
      </c>
      <c r="I21" s="77">
        <f t="shared" si="5"/>
        <v>2.0939755102040816</v>
      </c>
      <c r="J21" s="77">
        <f t="shared" si="5"/>
        <v>1.7024796444444446</v>
      </c>
      <c r="K21" s="77">
        <f t="shared" si="5"/>
        <v>1.4027999999999998</v>
      </c>
      <c r="L21" s="77">
        <f t="shared" si="5"/>
        <v>1.1695234683492775</v>
      </c>
      <c r="M21" s="77">
        <f t="shared" si="5"/>
        <v>0.9852312757201647</v>
      </c>
      <c r="N21" s="77">
        <f t="shared" si="5"/>
        <v>0.8377123195801137</v>
      </c>
      <c r="O21" s="77">
        <f t="shared" si="5"/>
        <v>0.7182336</v>
      </c>
      <c r="P21" s="77">
        <f t="shared" si="5"/>
        <v>0.6204371882086168</v>
      </c>
      <c r="Q21" s="77">
        <f t="shared" si="5"/>
        <v>0.5396195341848234</v>
      </c>
      <c r="R21" s="77">
        <f t="shared" si="5"/>
        <v>0.4722502506780636</v>
      </c>
      <c r="S21" s="77">
        <f t="shared" si="5"/>
        <v>0.4156444444444444</v>
      </c>
      <c r="T21" s="77">
        <f t="shared" si="5"/>
        <v>0.36773560320000004</v>
      </c>
      <c r="U21" s="77">
        <f t="shared" si="5"/>
        <v>0.32691561219845244</v>
      </c>
      <c r="V21" s="77">
        <f t="shared" si="5"/>
        <v>0.2919203779911599</v>
      </c>
      <c r="W21" s="77">
        <f t="shared" si="5"/>
        <v>0.2617469387755102</v>
      </c>
      <c r="X21" s="77">
        <f t="shared" si="5"/>
        <v>0.23559263602443725</v>
      </c>
      <c r="Y21" s="78">
        <f t="shared" si="5"/>
        <v>0.21280995555555557</v>
      </c>
    </row>
    <row r="22" spans="2:25" s="9" customFormat="1" ht="15" customHeight="1" hidden="1" outlineLevel="1">
      <c r="B22" s="8"/>
      <c r="D22" s="79"/>
      <c r="E22" s="79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</row>
    <row r="23" spans="1:25" s="9" customFormat="1" ht="15" customHeight="1" hidden="1" outlineLevel="1">
      <c r="A23" s="14"/>
      <c r="B23" s="8">
        <v>0.88</v>
      </c>
      <c r="D23" s="79"/>
      <c r="E23" s="79"/>
      <c r="F23" s="70" t="s">
        <v>18</v>
      </c>
      <c r="G23" s="71">
        <f aca="true" t="shared" si="6" ref="G23:Y23">8/G$15^2*$B25*$B$6/1000000</f>
        <v>6.949951690821257</v>
      </c>
      <c r="H23" s="71">
        <f t="shared" si="6"/>
        <v>5.921852328273734</v>
      </c>
      <c r="I23" s="71">
        <f t="shared" si="6"/>
        <v>5.1060869565217395</v>
      </c>
      <c r="J23" s="71">
        <f t="shared" si="6"/>
        <v>4.447969082125604</v>
      </c>
      <c r="K23" s="71">
        <f t="shared" si="6"/>
        <v>3.909347826086957</v>
      </c>
      <c r="L23" s="71">
        <f t="shared" si="6"/>
        <v>3.4629517075372354</v>
      </c>
      <c r="M23" s="71">
        <f t="shared" si="6"/>
        <v>3.08886741814278</v>
      </c>
      <c r="N23" s="71">
        <f t="shared" si="6"/>
        <v>2.772279898831748</v>
      </c>
      <c r="O23" s="71">
        <f t="shared" si="6"/>
        <v>2.5019826086956525</v>
      </c>
      <c r="P23" s="71">
        <f t="shared" si="6"/>
        <v>2.2693719806763286</v>
      </c>
      <c r="Q23" s="71">
        <f t="shared" si="6"/>
        <v>2.067754222062523</v>
      </c>
      <c r="R23" s="71">
        <f t="shared" si="6"/>
        <v>1.8918583052519113</v>
      </c>
      <c r="S23" s="71">
        <f t="shared" si="6"/>
        <v>1.7374879227053142</v>
      </c>
      <c r="T23" s="71">
        <f t="shared" si="6"/>
        <v>1.6012688695652175</v>
      </c>
      <c r="U23" s="71">
        <f t="shared" si="6"/>
        <v>1.4804630820684335</v>
      </c>
      <c r="V23" s="71">
        <f t="shared" si="6"/>
        <v>1.3728299636190138</v>
      </c>
      <c r="W23" s="71">
        <f t="shared" si="6"/>
        <v>1.2765217391304349</v>
      </c>
      <c r="X23" s="71">
        <f t="shared" si="6"/>
        <v>1.190003618880215</v>
      </c>
      <c r="Y23" s="72">
        <f t="shared" si="6"/>
        <v>1.111992270531401</v>
      </c>
    </row>
    <row r="24" spans="2:25" s="9" customFormat="1" ht="15" customHeight="1" hidden="1" outlineLevel="1">
      <c r="B24" s="8"/>
      <c r="C24" s="9">
        <f>H3/E$9</f>
        <v>8.521527240182026</v>
      </c>
      <c r="D24" s="79"/>
      <c r="E24" s="79"/>
      <c r="F24" s="70" t="s">
        <v>19</v>
      </c>
      <c r="G24" s="71">
        <f aca="true" t="shared" si="7" ref="G24:Y24">2*$C24/G$15</f>
        <v>5.681018160121351</v>
      </c>
      <c r="H24" s="71">
        <f t="shared" si="7"/>
        <v>5.244016763188939</v>
      </c>
      <c r="I24" s="71">
        <f t="shared" si="7"/>
        <v>4.869444137246872</v>
      </c>
      <c r="J24" s="71">
        <f t="shared" si="7"/>
        <v>4.54481452809708</v>
      </c>
      <c r="K24" s="71">
        <f t="shared" si="7"/>
        <v>4.260763620091013</v>
      </c>
      <c r="L24" s="71">
        <f t="shared" si="7"/>
        <v>4.010130465968012</v>
      </c>
      <c r="M24" s="71">
        <f t="shared" si="7"/>
        <v>3.7873454400809003</v>
      </c>
      <c r="N24" s="71">
        <f t="shared" si="7"/>
        <v>3.588011469550327</v>
      </c>
      <c r="O24" s="71">
        <f t="shared" si="7"/>
        <v>3.4086108960728105</v>
      </c>
      <c r="P24" s="71">
        <f t="shared" si="7"/>
        <v>3.2462960914979146</v>
      </c>
      <c r="Q24" s="71">
        <f t="shared" si="7"/>
        <v>3.0987371782480095</v>
      </c>
      <c r="R24" s="71">
        <f t="shared" si="7"/>
        <v>2.964009474845922</v>
      </c>
      <c r="S24" s="71">
        <f t="shared" si="7"/>
        <v>2.8405090800606754</v>
      </c>
      <c r="T24" s="71">
        <f t="shared" si="7"/>
        <v>2.7268887168582485</v>
      </c>
      <c r="U24" s="71">
        <f t="shared" si="7"/>
        <v>2.6220083815944695</v>
      </c>
      <c r="V24" s="71">
        <f t="shared" si="7"/>
        <v>2.5248969600539337</v>
      </c>
      <c r="W24" s="71">
        <f t="shared" si="7"/>
        <v>2.434722068623436</v>
      </c>
      <c r="X24" s="71">
        <f t="shared" si="7"/>
        <v>2.350766135222628</v>
      </c>
      <c r="Y24" s="72">
        <f t="shared" si="7"/>
        <v>2.27240726404854</v>
      </c>
    </row>
    <row r="25" spans="1:136" s="9" customFormat="1" ht="15" customHeight="1" collapsed="1">
      <c r="A25" s="15" t="s">
        <v>1</v>
      </c>
      <c r="B25" s="8">
        <f>C$3</f>
        <v>25690</v>
      </c>
      <c r="D25" s="122">
        <f>B23</f>
        <v>0.88</v>
      </c>
      <c r="E25" s="119">
        <v>10.36</v>
      </c>
      <c r="F25" s="73" t="s">
        <v>35</v>
      </c>
      <c r="G25" s="74">
        <f aca="true" t="shared" si="8" ref="G25:Y25">MIN(G23,G24)</f>
        <v>5.681018160121351</v>
      </c>
      <c r="H25" s="74">
        <f t="shared" si="8"/>
        <v>5.244016763188939</v>
      </c>
      <c r="I25" s="74">
        <f t="shared" si="8"/>
        <v>4.869444137246872</v>
      </c>
      <c r="J25" s="74">
        <f t="shared" si="8"/>
        <v>4.447969082125604</v>
      </c>
      <c r="K25" s="74">
        <f t="shared" si="8"/>
        <v>3.909347826086957</v>
      </c>
      <c r="L25" s="74">
        <f t="shared" si="8"/>
        <v>3.4629517075372354</v>
      </c>
      <c r="M25" s="74">
        <f t="shared" si="8"/>
        <v>3.08886741814278</v>
      </c>
      <c r="N25" s="74">
        <f t="shared" si="8"/>
        <v>2.772279898831748</v>
      </c>
      <c r="O25" s="74">
        <f t="shared" si="8"/>
        <v>2.5019826086956525</v>
      </c>
      <c r="P25" s="74">
        <f t="shared" si="8"/>
        <v>2.2693719806763286</v>
      </c>
      <c r="Q25" s="74">
        <f t="shared" si="8"/>
        <v>2.067754222062523</v>
      </c>
      <c r="R25" s="74">
        <f t="shared" si="8"/>
        <v>1.8918583052519113</v>
      </c>
      <c r="S25" s="74">
        <f t="shared" si="8"/>
        <v>1.7374879227053142</v>
      </c>
      <c r="T25" s="74">
        <f t="shared" si="8"/>
        <v>1.6012688695652175</v>
      </c>
      <c r="U25" s="74">
        <f t="shared" si="8"/>
        <v>1.4804630820684335</v>
      </c>
      <c r="V25" s="74">
        <f t="shared" si="8"/>
        <v>1.3728299636190138</v>
      </c>
      <c r="W25" s="74">
        <f t="shared" si="8"/>
        <v>1.2765217391304349</v>
      </c>
      <c r="X25" s="74">
        <f t="shared" si="8"/>
        <v>1.190003618880215</v>
      </c>
      <c r="Y25" s="75">
        <f t="shared" si="8"/>
        <v>1.111992270531401</v>
      </c>
      <c r="Z25" s="16"/>
      <c r="AA25" s="16"/>
      <c r="AB25" s="16"/>
      <c r="AC25" s="16"/>
      <c r="AD25" s="1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25" s="8" customFormat="1" ht="15" customHeight="1">
      <c r="A26" s="15" t="s">
        <v>2</v>
      </c>
      <c r="B26" s="9">
        <f>D$3</f>
        <v>27253.6</v>
      </c>
      <c r="D26" s="123"/>
      <c r="E26" s="120"/>
      <c r="F26" s="70" t="s">
        <v>36</v>
      </c>
      <c r="G26" s="71">
        <f aca="true" t="shared" si="9" ref="G26:Y26">384/5*$B$7*$B27/(G$15*1000)^3/$B$11</f>
        <v>7.7255111111111106</v>
      </c>
      <c r="H26" s="71">
        <f t="shared" si="9"/>
        <v>6.0763237141556665</v>
      </c>
      <c r="I26" s="71">
        <f t="shared" si="9"/>
        <v>4.865044897959184</v>
      </c>
      <c r="J26" s="71">
        <f t="shared" si="9"/>
        <v>3.9554616888888887</v>
      </c>
      <c r="K26" s="71">
        <f t="shared" si="9"/>
        <v>3.2592</v>
      </c>
      <c r="L26" s="71">
        <f t="shared" si="9"/>
        <v>2.7172162019132915</v>
      </c>
      <c r="M26" s="71">
        <f t="shared" si="9"/>
        <v>2.289040329218107</v>
      </c>
      <c r="N26" s="71">
        <f t="shared" si="9"/>
        <v>1.9463016766292462</v>
      </c>
      <c r="O26" s="71">
        <f t="shared" si="9"/>
        <v>1.6687104</v>
      </c>
      <c r="P26" s="71">
        <f t="shared" si="9"/>
        <v>1.4414947845804988</v>
      </c>
      <c r="Q26" s="71">
        <f t="shared" si="9"/>
        <v>1.2537268219383921</v>
      </c>
      <c r="R26" s="71">
        <f t="shared" si="9"/>
        <v>1.0972041752280761</v>
      </c>
      <c r="S26" s="71">
        <f t="shared" si="9"/>
        <v>0.9656888888888888</v>
      </c>
      <c r="T26" s="71">
        <f t="shared" si="9"/>
        <v>0.8543797248</v>
      </c>
      <c r="U26" s="71">
        <f t="shared" si="9"/>
        <v>0.7595404642694583</v>
      </c>
      <c r="V26" s="71">
        <f t="shared" si="9"/>
        <v>0.6782341716201798</v>
      </c>
      <c r="W26" s="71">
        <f t="shared" si="9"/>
        <v>0.608130612244898</v>
      </c>
      <c r="X26" s="71">
        <f t="shared" si="9"/>
        <v>0.5473649268112674</v>
      </c>
      <c r="Y26" s="72">
        <f t="shared" si="9"/>
        <v>0.4944327111111111</v>
      </c>
    </row>
    <row r="27" spans="1:25" s="11" customFormat="1" ht="15" customHeight="1">
      <c r="A27" s="8" t="s">
        <v>3</v>
      </c>
      <c r="B27" s="17">
        <f>E$3</f>
        <v>1940000</v>
      </c>
      <c r="D27" s="124"/>
      <c r="E27" s="121"/>
      <c r="F27" s="76" t="s">
        <v>37</v>
      </c>
      <c r="G27" s="77">
        <f aca="true" t="shared" si="10" ref="G27:Y27">384/5*$B$7*$B27/(G$15*1000)^3/$B$12</f>
        <v>3.8627555555555553</v>
      </c>
      <c r="H27" s="77">
        <f t="shared" si="10"/>
        <v>3.0381618570778333</v>
      </c>
      <c r="I27" s="77">
        <f t="shared" si="10"/>
        <v>2.432522448979592</v>
      </c>
      <c r="J27" s="77">
        <f t="shared" si="10"/>
        <v>1.9777308444444444</v>
      </c>
      <c r="K27" s="77">
        <f t="shared" si="10"/>
        <v>1.6296</v>
      </c>
      <c r="L27" s="77">
        <f t="shared" si="10"/>
        <v>1.3586081009566457</v>
      </c>
      <c r="M27" s="77">
        <f t="shared" si="10"/>
        <v>1.1445201646090535</v>
      </c>
      <c r="N27" s="77">
        <f t="shared" si="10"/>
        <v>0.9731508383146231</v>
      </c>
      <c r="O27" s="77">
        <f t="shared" si="10"/>
        <v>0.8343552</v>
      </c>
      <c r="P27" s="77">
        <f t="shared" si="10"/>
        <v>0.7207473922902494</v>
      </c>
      <c r="Q27" s="77">
        <f t="shared" si="10"/>
        <v>0.6268634109691961</v>
      </c>
      <c r="R27" s="77">
        <f t="shared" si="10"/>
        <v>0.5486020876140381</v>
      </c>
      <c r="S27" s="77">
        <f t="shared" si="10"/>
        <v>0.4828444444444444</v>
      </c>
      <c r="T27" s="77">
        <f t="shared" si="10"/>
        <v>0.4271898624</v>
      </c>
      <c r="U27" s="77">
        <f t="shared" si="10"/>
        <v>0.37977023213472916</v>
      </c>
      <c r="V27" s="77">
        <f t="shared" si="10"/>
        <v>0.3391170858100899</v>
      </c>
      <c r="W27" s="77">
        <f t="shared" si="10"/>
        <v>0.304065306122449</v>
      </c>
      <c r="X27" s="77">
        <f t="shared" si="10"/>
        <v>0.2736824634056337</v>
      </c>
      <c r="Y27" s="78">
        <f t="shared" si="10"/>
        <v>0.24721635555555554</v>
      </c>
    </row>
    <row r="28" spans="2:25" s="9" customFormat="1" ht="15" customHeight="1" hidden="1" outlineLevel="1">
      <c r="B28" s="8"/>
      <c r="D28" s="79"/>
      <c r="E28" s="79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</row>
    <row r="29" spans="1:25" s="9" customFormat="1" ht="15" customHeight="1" hidden="1" outlineLevel="1">
      <c r="A29" s="14"/>
      <c r="B29" s="8">
        <v>1</v>
      </c>
      <c r="D29" s="79"/>
      <c r="E29" s="79"/>
      <c r="F29" s="70" t="s">
        <v>18</v>
      </c>
      <c r="G29" s="71">
        <f aca="true" t="shared" si="11" ref="G29:Y29">8/G$15^2*$B31*$B$6/1000000</f>
        <v>9.933913043478261</v>
      </c>
      <c r="H29" s="71">
        <f t="shared" si="11"/>
        <v>8.464399279650117</v>
      </c>
      <c r="I29" s="71">
        <f t="shared" si="11"/>
        <v>7.298385093167702</v>
      </c>
      <c r="J29" s="71">
        <f t="shared" si="11"/>
        <v>6.357704347826087</v>
      </c>
      <c r="K29" s="71">
        <f t="shared" si="11"/>
        <v>5.587826086956523</v>
      </c>
      <c r="L29" s="71">
        <f t="shared" si="11"/>
        <v>4.949769820971868</v>
      </c>
      <c r="M29" s="71">
        <f t="shared" si="11"/>
        <v>4.415072463768116</v>
      </c>
      <c r="N29" s="71">
        <f t="shared" si="11"/>
        <v>3.9625581115259547</v>
      </c>
      <c r="O29" s="71">
        <f t="shared" si="11"/>
        <v>3.5762086956521744</v>
      </c>
      <c r="P29" s="71">
        <f t="shared" si="11"/>
        <v>3.2437267080745342</v>
      </c>
      <c r="Q29" s="71">
        <f t="shared" si="11"/>
        <v>2.955544376572045</v>
      </c>
      <c r="R29" s="71">
        <f t="shared" si="11"/>
        <v>2.7041275581490924</v>
      </c>
      <c r="S29" s="71">
        <f t="shared" si="11"/>
        <v>2.4834782608695654</v>
      </c>
      <c r="T29" s="71">
        <f t="shared" si="11"/>
        <v>2.2887735652173915</v>
      </c>
      <c r="U29" s="71">
        <f t="shared" si="11"/>
        <v>2.116099819912529</v>
      </c>
      <c r="V29" s="71">
        <f t="shared" si="11"/>
        <v>1.962254428341385</v>
      </c>
      <c r="W29" s="71">
        <f t="shared" si="11"/>
        <v>1.8245962732919254</v>
      </c>
      <c r="X29" s="71">
        <f t="shared" si="11"/>
        <v>1.7009316031639352</v>
      </c>
      <c r="Y29" s="72">
        <f t="shared" si="11"/>
        <v>1.5894260869565218</v>
      </c>
    </row>
    <row r="30" spans="2:25" s="9" customFormat="1" ht="15" customHeight="1" hidden="1" outlineLevel="1">
      <c r="B30" s="8"/>
      <c r="C30" s="9">
        <f>H4/E$9</f>
        <v>11.121535907912742</v>
      </c>
      <c r="D30" s="79"/>
      <c r="E30" s="79"/>
      <c r="F30" s="70" t="s">
        <v>19</v>
      </c>
      <c r="G30" s="71">
        <f aca="true" t="shared" si="12" ref="G30:Y30">2*$C30/G$15</f>
        <v>7.414357271941828</v>
      </c>
      <c r="H30" s="71">
        <f t="shared" si="12"/>
        <v>6.844022097177072</v>
      </c>
      <c r="I30" s="71">
        <f t="shared" si="12"/>
        <v>6.355163375950139</v>
      </c>
      <c r="J30" s="71">
        <f t="shared" si="12"/>
        <v>5.931485817553463</v>
      </c>
      <c r="K30" s="71">
        <f t="shared" si="12"/>
        <v>5.560767953956371</v>
      </c>
      <c r="L30" s="71">
        <f t="shared" si="12"/>
        <v>5.23366395666482</v>
      </c>
      <c r="M30" s="71">
        <f t="shared" si="12"/>
        <v>4.942904847961219</v>
      </c>
      <c r="N30" s="71">
        <f t="shared" si="12"/>
        <v>4.682751961226418</v>
      </c>
      <c r="O30" s="71">
        <f t="shared" si="12"/>
        <v>4.448614363165097</v>
      </c>
      <c r="P30" s="71">
        <f t="shared" si="12"/>
        <v>4.236775583966759</v>
      </c>
      <c r="Q30" s="71">
        <f t="shared" si="12"/>
        <v>4.044194875604633</v>
      </c>
      <c r="R30" s="71">
        <f t="shared" si="12"/>
        <v>3.8683603157957362</v>
      </c>
      <c r="S30" s="71">
        <f t="shared" si="12"/>
        <v>3.707178635970914</v>
      </c>
      <c r="T30" s="71">
        <f t="shared" si="12"/>
        <v>3.5588914905320777</v>
      </c>
      <c r="U30" s="71">
        <f t="shared" si="12"/>
        <v>3.422011048588536</v>
      </c>
      <c r="V30" s="71">
        <f t="shared" si="12"/>
        <v>3.2952698986408127</v>
      </c>
      <c r="W30" s="71">
        <f t="shared" si="12"/>
        <v>3.1775816879750693</v>
      </c>
      <c r="X30" s="71">
        <f t="shared" si="12"/>
        <v>3.068009905631101</v>
      </c>
      <c r="Y30" s="72">
        <f t="shared" si="12"/>
        <v>2.9657429087767313</v>
      </c>
    </row>
    <row r="31" spans="1:27" s="9" customFormat="1" ht="15" customHeight="1" collapsed="1">
      <c r="A31" s="15" t="s">
        <v>1</v>
      </c>
      <c r="B31" s="8">
        <f>C$4</f>
        <v>36720</v>
      </c>
      <c r="D31" s="122">
        <f>B29</f>
        <v>1</v>
      </c>
      <c r="E31" s="119">
        <v>11.78</v>
      </c>
      <c r="F31" s="73" t="s">
        <v>35</v>
      </c>
      <c r="G31" s="74">
        <f aca="true" t="shared" si="13" ref="G31:Y31">MIN(G29,G30)</f>
        <v>7.414357271941828</v>
      </c>
      <c r="H31" s="74">
        <f t="shared" si="13"/>
        <v>6.844022097177072</v>
      </c>
      <c r="I31" s="74">
        <f t="shared" si="13"/>
        <v>6.355163375950139</v>
      </c>
      <c r="J31" s="74">
        <f t="shared" si="13"/>
        <v>5.931485817553463</v>
      </c>
      <c r="K31" s="74">
        <f t="shared" si="13"/>
        <v>5.560767953956371</v>
      </c>
      <c r="L31" s="74">
        <f t="shared" si="13"/>
        <v>4.949769820971868</v>
      </c>
      <c r="M31" s="74">
        <f t="shared" si="13"/>
        <v>4.415072463768116</v>
      </c>
      <c r="N31" s="74">
        <f t="shared" si="13"/>
        <v>3.9625581115259547</v>
      </c>
      <c r="O31" s="74">
        <f t="shared" si="13"/>
        <v>3.5762086956521744</v>
      </c>
      <c r="P31" s="74">
        <f t="shared" si="13"/>
        <v>3.2437267080745342</v>
      </c>
      <c r="Q31" s="74">
        <f t="shared" si="13"/>
        <v>2.955544376572045</v>
      </c>
      <c r="R31" s="74">
        <f t="shared" si="13"/>
        <v>2.7041275581490924</v>
      </c>
      <c r="S31" s="74">
        <f t="shared" si="13"/>
        <v>2.4834782608695654</v>
      </c>
      <c r="T31" s="74">
        <f t="shared" si="13"/>
        <v>2.2887735652173915</v>
      </c>
      <c r="U31" s="74">
        <f t="shared" si="13"/>
        <v>2.116099819912529</v>
      </c>
      <c r="V31" s="74">
        <f t="shared" si="13"/>
        <v>1.962254428341385</v>
      </c>
      <c r="W31" s="74">
        <f t="shared" si="13"/>
        <v>1.8245962732919254</v>
      </c>
      <c r="X31" s="74">
        <f t="shared" si="13"/>
        <v>1.7009316031639352</v>
      </c>
      <c r="Y31" s="75">
        <f t="shared" si="13"/>
        <v>1.5894260869565218</v>
      </c>
      <c r="Z31" s="16"/>
      <c r="AA31" s="16"/>
    </row>
    <row r="32" spans="1:25" s="8" customFormat="1" ht="15" customHeight="1">
      <c r="A32" s="15" t="s">
        <v>2</v>
      </c>
      <c r="B32" s="9">
        <f>D$4</f>
        <v>30970</v>
      </c>
      <c r="D32" s="123"/>
      <c r="E32" s="120"/>
      <c r="F32" s="70" t="s">
        <v>36</v>
      </c>
      <c r="G32" s="71">
        <f aca="true" t="shared" si="14" ref="G32:Y32">384/5*$B$7*$B33/(G$15*1000)^3/$B$11</f>
        <v>9.613084444444445</v>
      </c>
      <c r="H32" s="71">
        <f t="shared" si="14"/>
        <v>7.560951260810196</v>
      </c>
      <c r="I32" s="71">
        <f t="shared" si="14"/>
        <v>6.053720816326531</v>
      </c>
      <c r="J32" s="71">
        <f t="shared" si="14"/>
        <v>4.921899235555556</v>
      </c>
      <c r="K32" s="71">
        <f t="shared" si="14"/>
        <v>4.05552</v>
      </c>
      <c r="L32" s="71">
        <f t="shared" si="14"/>
        <v>3.3811133564013844</v>
      </c>
      <c r="M32" s="71">
        <f t="shared" si="14"/>
        <v>2.848321316872428</v>
      </c>
      <c r="N32" s="71">
        <f t="shared" si="14"/>
        <v>2.4218413646304127</v>
      </c>
      <c r="O32" s="71">
        <f t="shared" si="14"/>
        <v>2.07642624</v>
      </c>
      <c r="P32" s="71">
        <f t="shared" si="14"/>
        <v>1.7936950566893424</v>
      </c>
      <c r="Q32" s="71">
        <f t="shared" si="14"/>
        <v>1.5600497670924118</v>
      </c>
      <c r="R32" s="71">
        <f t="shared" si="14"/>
        <v>1.3652839582477192</v>
      </c>
      <c r="S32" s="71">
        <f t="shared" si="14"/>
        <v>1.2016355555555556</v>
      </c>
      <c r="T32" s="71">
        <f t="shared" si="14"/>
        <v>1.06313023488</v>
      </c>
      <c r="U32" s="71">
        <f t="shared" si="14"/>
        <v>0.9451189076012745</v>
      </c>
      <c r="V32" s="71">
        <f t="shared" si="14"/>
        <v>0.8439470568510898</v>
      </c>
      <c r="W32" s="71">
        <f t="shared" si="14"/>
        <v>0.7567151020408164</v>
      </c>
      <c r="X32" s="71">
        <f t="shared" si="14"/>
        <v>0.6811025429496904</v>
      </c>
      <c r="Y32" s="72">
        <f t="shared" si="14"/>
        <v>0.6152374044444445</v>
      </c>
    </row>
    <row r="33" spans="1:25" s="11" customFormat="1" ht="15" customHeight="1">
      <c r="A33" s="8" t="s">
        <v>3</v>
      </c>
      <c r="B33" s="17">
        <f>E$4</f>
        <v>2414000</v>
      </c>
      <c r="D33" s="124"/>
      <c r="E33" s="121"/>
      <c r="F33" s="76" t="s">
        <v>37</v>
      </c>
      <c r="G33" s="77">
        <f aca="true" t="shared" si="15" ref="G33:Y33">384/5*$B$7*$B33/(G$15*1000)^3/$B$12</f>
        <v>4.806542222222222</v>
      </c>
      <c r="H33" s="77">
        <f t="shared" si="15"/>
        <v>3.780475630405098</v>
      </c>
      <c r="I33" s="77">
        <f t="shared" si="15"/>
        <v>3.0268604081632655</v>
      </c>
      <c r="J33" s="77">
        <f t="shared" si="15"/>
        <v>2.460949617777778</v>
      </c>
      <c r="K33" s="77">
        <f t="shared" si="15"/>
        <v>2.02776</v>
      </c>
      <c r="L33" s="77">
        <f t="shared" si="15"/>
        <v>1.6905566782006922</v>
      </c>
      <c r="M33" s="77">
        <f t="shared" si="15"/>
        <v>1.424160658436214</v>
      </c>
      <c r="N33" s="77">
        <f t="shared" si="15"/>
        <v>1.2109206823152063</v>
      </c>
      <c r="O33" s="77">
        <f t="shared" si="15"/>
        <v>1.03821312</v>
      </c>
      <c r="P33" s="77">
        <f t="shared" si="15"/>
        <v>0.8968475283446712</v>
      </c>
      <c r="Q33" s="77">
        <f t="shared" si="15"/>
        <v>0.7800248835462059</v>
      </c>
      <c r="R33" s="77">
        <f t="shared" si="15"/>
        <v>0.6826419791238596</v>
      </c>
      <c r="S33" s="77">
        <f t="shared" si="15"/>
        <v>0.6008177777777778</v>
      </c>
      <c r="T33" s="77">
        <f t="shared" si="15"/>
        <v>0.53156511744</v>
      </c>
      <c r="U33" s="77">
        <f t="shared" si="15"/>
        <v>0.47255945380063724</v>
      </c>
      <c r="V33" s="77">
        <f t="shared" si="15"/>
        <v>0.4219735284255449</v>
      </c>
      <c r="W33" s="77">
        <f t="shared" si="15"/>
        <v>0.3783575510204082</v>
      </c>
      <c r="X33" s="77">
        <f t="shared" si="15"/>
        <v>0.3405512714748452</v>
      </c>
      <c r="Y33" s="78">
        <f t="shared" si="15"/>
        <v>0.30761870222222226</v>
      </c>
    </row>
    <row r="34" spans="1:25" s="8" customFormat="1" ht="11.25" customHeight="1">
      <c r="A34" s="18"/>
      <c r="D34" s="80"/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s="8" customFormat="1" ht="11.25" customHeight="1" hidden="1" outlineLevel="1">
      <c r="A35" s="18"/>
      <c r="D35" s="80"/>
      <c r="E35" s="80"/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s="8" customFormat="1" ht="11.25" customHeight="1" collapsed="1">
      <c r="A36" s="10"/>
      <c r="D36" s="80"/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s="8" customFormat="1" ht="11.25" customHeight="1">
      <c r="A37" s="10"/>
      <c r="D37" s="80"/>
      <c r="E37" s="80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s="13" customFormat="1" ht="18" customHeight="1" thickBot="1">
      <c r="A38" s="12"/>
      <c r="B38" s="12" t="s">
        <v>13</v>
      </c>
      <c r="C38" s="12" t="s">
        <v>14</v>
      </c>
      <c r="D38" s="65" t="s">
        <v>15</v>
      </c>
      <c r="E38" s="65" t="s">
        <v>34</v>
      </c>
      <c r="F38" s="83" t="s">
        <v>16</v>
      </c>
      <c r="G38" s="84">
        <f>G15</f>
        <v>3</v>
      </c>
      <c r="H38" s="84">
        <f aca="true" t="shared" si="16" ref="H38:Y38">G38+0.25</f>
        <v>3.25</v>
      </c>
      <c r="I38" s="84">
        <f t="shared" si="16"/>
        <v>3.5</v>
      </c>
      <c r="J38" s="84">
        <f t="shared" si="16"/>
        <v>3.75</v>
      </c>
      <c r="K38" s="84">
        <f t="shared" si="16"/>
        <v>4</v>
      </c>
      <c r="L38" s="84">
        <f t="shared" si="16"/>
        <v>4.25</v>
      </c>
      <c r="M38" s="84">
        <f t="shared" si="16"/>
        <v>4.5</v>
      </c>
      <c r="N38" s="84">
        <f t="shared" si="16"/>
        <v>4.75</v>
      </c>
      <c r="O38" s="84">
        <f t="shared" si="16"/>
        <v>5</v>
      </c>
      <c r="P38" s="84">
        <f t="shared" si="16"/>
        <v>5.25</v>
      </c>
      <c r="Q38" s="84">
        <f t="shared" si="16"/>
        <v>5.5</v>
      </c>
      <c r="R38" s="84">
        <f t="shared" si="16"/>
        <v>5.75</v>
      </c>
      <c r="S38" s="84">
        <f t="shared" si="16"/>
        <v>6</v>
      </c>
      <c r="T38" s="84">
        <f t="shared" si="16"/>
        <v>6.25</v>
      </c>
      <c r="U38" s="84">
        <f t="shared" si="16"/>
        <v>6.5</v>
      </c>
      <c r="V38" s="84">
        <f t="shared" si="16"/>
        <v>6.75</v>
      </c>
      <c r="W38" s="84">
        <f t="shared" si="16"/>
        <v>7</v>
      </c>
      <c r="X38" s="84">
        <f t="shared" si="16"/>
        <v>7.25</v>
      </c>
      <c r="Y38" s="84">
        <f t="shared" si="16"/>
        <v>7.5</v>
      </c>
    </row>
    <row r="39" spans="1:25" s="9" customFormat="1" ht="15" customHeight="1" hidden="1" outlineLevel="1">
      <c r="A39" s="14" t="s">
        <v>17</v>
      </c>
      <c r="B39" s="8"/>
      <c r="D39" s="69"/>
      <c r="E39" s="69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2"/>
    </row>
    <row r="40" spans="1:25" s="9" customFormat="1" ht="15" customHeight="1" hidden="1" outlineLevel="1">
      <c r="A40" s="14"/>
      <c r="B40" s="8"/>
      <c r="D40" s="69"/>
      <c r="E40" s="69"/>
      <c r="F40" s="70" t="s">
        <v>20</v>
      </c>
      <c r="G40" s="71">
        <f aca="true" t="shared" si="17" ref="G40:Y40">G$38^2/8</f>
        <v>1.125</v>
      </c>
      <c r="H40" s="71">
        <f t="shared" si="17"/>
        <v>1.3203125</v>
      </c>
      <c r="I40" s="71">
        <f t="shared" si="17"/>
        <v>1.53125</v>
      </c>
      <c r="J40" s="71">
        <f t="shared" si="17"/>
        <v>1.7578125</v>
      </c>
      <c r="K40" s="71">
        <f t="shared" si="17"/>
        <v>2</v>
      </c>
      <c r="L40" s="71">
        <f t="shared" si="17"/>
        <v>2.2578125</v>
      </c>
      <c r="M40" s="71">
        <f t="shared" si="17"/>
        <v>2.53125</v>
      </c>
      <c r="N40" s="71">
        <f t="shared" si="17"/>
        <v>2.8203125</v>
      </c>
      <c r="O40" s="71">
        <f t="shared" si="17"/>
        <v>3.125</v>
      </c>
      <c r="P40" s="71">
        <f t="shared" si="17"/>
        <v>3.4453125</v>
      </c>
      <c r="Q40" s="71">
        <f t="shared" si="17"/>
        <v>3.78125</v>
      </c>
      <c r="R40" s="71">
        <f t="shared" si="17"/>
        <v>4.1328125</v>
      </c>
      <c r="S40" s="71">
        <f t="shared" si="17"/>
        <v>4.5</v>
      </c>
      <c r="T40" s="71">
        <f t="shared" si="17"/>
        <v>4.8828125</v>
      </c>
      <c r="U40" s="71">
        <f t="shared" si="17"/>
        <v>5.28125</v>
      </c>
      <c r="V40" s="71">
        <f t="shared" si="17"/>
        <v>5.6953125</v>
      </c>
      <c r="W40" s="71">
        <f t="shared" si="17"/>
        <v>6.125</v>
      </c>
      <c r="X40" s="71">
        <f t="shared" si="17"/>
        <v>6.5703125</v>
      </c>
      <c r="Y40" s="72">
        <f t="shared" si="17"/>
        <v>7.03125</v>
      </c>
    </row>
    <row r="41" spans="1:25" s="9" customFormat="1" ht="15" customHeight="1" hidden="1" outlineLevel="1">
      <c r="A41" s="14"/>
      <c r="B41" s="8"/>
      <c r="D41" s="69"/>
      <c r="E41" s="69"/>
      <c r="F41" s="70" t="s">
        <v>21</v>
      </c>
      <c r="G41" s="71">
        <f aca="true" t="shared" si="18" ref="G41:Y41">IF(G$38&lt;$M$4,IF(G$38&lt;$M$3,$N$3*G$40,($N$3+0.095*(G$38-$M$3)/1.25)*G$40),IF(G$38&gt;6,0.9*G$40,(0.86+0.04*(G$38-$M$4)/1.35)*G$40))</f>
        <v>0.860625</v>
      </c>
      <c r="H41" s="71">
        <f t="shared" si="18"/>
        <v>1.0100390625</v>
      </c>
      <c r="I41" s="71">
        <f t="shared" si="18"/>
        <v>1.1830437500000002</v>
      </c>
      <c r="J41" s="71">
        <f t="shared" si="18"/>
        <v>1.3914843749999999</v>
      </c>
      <c r="K41" s="71">
        <f t="shared" si="18"/>
        <v>1.6212</v>
      </c>
      <c r="L41" s="71">
        <f t="shared" si="18"/>
        <v>1.87308125</v>
      </c>
      <c r="M41" s="71">
        <f t="shared" si="18"/>
        <v>2.14801875</v>
      </c>
      <c r="N41" s="71">
        <f t="shared" si="18"/>
        <v>2.433825231481481</v>
      </c>
      <c r="O41" s="71">
        <f t="shared" si="18"/>
        <v>2.7199074074074074</v>
      </c>
      <c r="P41" s="71">
        <f t="shared" si="18"/>
        <v>3.02421875</v>
      </c>
      <c r="Q41" s="71">
        <f t="shared" si="18"/>
        <v>3.3471064814814815</v>
      </c>
      <c r="R41" s="71">
        <f t="shared" si="18"/>
        <v>3.6889178240740743</v>
      </c>
      <c r="S41" s="71">
        <f t="shared" si="18"/>
        <v>4.05</v>
      </c>
      <c r="T41" s="71">
        <f t="shared" si="18"/>
        <v>4.39453125</v>
      </c>
      <c r="U41" s="71">
        <f t="shared" si="18"/>
        <v>4.753125</v>
      </c>
      <c r="V41" s="71">
        <f t="shared" si="18"/>
        <v>5.12578125</v>
      </c>
      <c r="W41" s="71">
        <f t="shared" si="18"/>
        <v>5.5125</v>
      </c>
      <c r="X41" s="71">
        <f t="shared" si="18"/>
        <v>5.91328125</v>
      </c>
      <c r="Y41" s="72">
        <f t="shared" si="18"/>
        <v>6.328125</v>
      </c>
    </row>
    <row r="42" spans="1:25" s="9" customFormat="1" ht="15" customHeight="1" hidden="1" outlineLevel="1">
      <c r="A42" s="14"/>
      <c r="B42" s="8"/>
      <c r="D42" s="69"/>
      <c r="E42" s="69"/>
      <c r="F42" s="70" t="s">
        <v>22</v>
      </c>
      <c r="G42" s="71">
        <f aca="true" t="shared" si="19" ref="G42:Y42">G$38/2-G41/G$38</f>
        <v>1.213125</v>
      </c>
      <c r="H42" s="71">
        <f t="shared" si="19"/>
        <v>1.31421875</v>
      </c>
      <c r="I42" s="71">
        <f t="shared" si="19"/>
        <v>1.4119875</v>
      </c>
      <c r="J42" s="71">
        <f t="shared" si="19"/>
        <v>1.5039375000000001</v>
      </c>
      <c r="K42" s="71">
        <f t="shared" si="19"/>
        <v>1.5947</v>
      </c>
      <c r="L42" s="71">
        <f t="shared" si="19"/>
        <v>1.684275</v>
      </c>
      <c r="M42" s="71">
        <f t="shared" si="19"/>
        <v>1.7726625</v>
      </c>
      <c r="N42" s="71">
        <f t="shared" si="19"/>
        <v>1.8626157407407407</v>
      </c>
      <c r="O42" s="71">
        <f t="shared" si="19"/>
        <v>1.9560185185185186</v>
      </c>
      <c r="P42" s="71">
        <f t="shared" si="19"/>
        <v>2.048958333333333</v>
      </c>
      <c r="Q42" s="71">
        <f t="shared" si="19"/>
        <v>2.141435185185185</v>
      </c>
      <c r="R42" s="71">
        <f t="shared" si="19"/>
        <v>2.2334490740740742</v>
      </c>
      <c r="S42" s="71">
        <f t="shared" si="19"/>
        <v>2.325</v>
      </c>
      <c r="T42" s="71">
        <f t="shared" si="19"/>
        <v>2.421875</v>
      </c>
      <c r="U42" s="71">
        <f t="shared" si="19"/>
        <v>2.51875</v>
      </c>
      <c r="V42" s="71">
        <f t="shared" si="19"/>
        <v>2.615625</v>
      </c>
      <c r="W42" s="71">
        <f t="shared" si="19"/>
        <v>2.7125</v>
      </c>
      <c r="X42" s="71">
        <f t="shared" si="19"/>
        <v>2.809375</v>
      </c>
      <c r="Y42" s="72">
        <f t="shared" si="19"/>
        <v>2.90625</v>
      </c>
    </row>
    <row r="43" spans="1:25" s="9" customFormat="1" ht="15" customHeight="1" hidden="1" outlineLevel="1">
      <c r="A43" s="14"/>
      <c r="B43" s="8"/>
      <c r="D43" s="69"/>
      <c r="E43" s="69"/>
      <c r="F43" s="70" t="s">
        <v>23</v>
      </c>
      <c r="G43" s="71">
        <f aca="true" t="shared" si="20" ref="G43:Y43">2*(G$38-G42)</f>
        <v>3.57375</v>
      </c>
      <c r="H43" s="71">
        <f t="shared" si="20"/>
        <v>3.8715625</v>
      </c>
      <c r="I43" s="71">
        <f t="shared" si="20"/>
        <v>4.176025</v>
      </c>
      <c r="J43" s="71">
        <f t="shared" si="20"/>
        <v>4.492125</v>
      </c>
      <c r="K43" s="71">
        <f t="shared" si="20"/>
        <v>4.8106</v>
      </c>
      <c r="L43" s="71">
        <f t="shared" si="20"/>
        <v>5.13145</v>
      </c>
      <c r="M43" s="71">
        <f t="shared" si="20"/>
        <v>5.454675</v>
      </c>
      <c r="N43" s="71">
        <f t="shared" si="20"/>
        <v>5.774768518518519</v>
      </c>
      <c r="O43" s="71">
        <f t="shared" si="20"/>
        <v>6.087962962962963</v>
      </c>
      <c r="P43" s="71">
        <f t="shared" si="20"/>
        <v>6.402083333333334</v>
      </c>
      <c r="Q43" s="71">
        <f t="shared" si="20"/>
        <v>6.71712962962963</v>
      </c>
      <c r="R43" s="71">
        <f t="shared" si="20"/>
        <v>7.0331018518518515</v>
      </c>
      <c r="S43" s="71">
        <f t="shared" si="20"/>
        <v>7.35</v>
      </c>
      <c r="T43" s="71">
        <f t="shared" si="20"/>
        <v>7.65625</v>
      </c>
      <c r="U43" s="71">
        <f t="shared" si="20"/>
        <v>7.9625</v>
      </c>
      <c r="V43" s="71">
        <f t="shared" si="20"/>
        <v>8.26875</v>
      </c>
      <c r="W43" s="71">
        <f t="shared" si="20"/>
        <v>8.575</v>
      </c>
      <c r="X43" s="71">
        <f t="shared" si="20"/>
        <v>8.88125</v>
      </c>
      <c r="Y43" s="72">
        <f t="shared" si="20"/>
        <v>9.1875</v>
      </c>
    </row>
    <row r="44" spans="1:25" s="9" customFormat="1" ht="15" customHeight="1" hidden="1" outlineLevel="1">
      <c r="A44" s="14"/>
      <c r="B44" s="8"/>
      <c r="D44" s="69"/>
      <c r="E44" s="69"/>
      <c r="F44" s="70" t="s">
        <v>24</v>
      </c>
      <c r="G44" s="71">
        <f aca="true" t="shared" si="21" ref="G44:Y44">$C45/G42</f>
        <v>5.02863693029806</v>
      </c>
      <c r="H44" s="71">
        <f t="shared" si="21"/>
        <v>4.641818704890516</v>
      </c>
      <c r="I44" s="71">
        <f t="shared" si="21"/>
        <v>4.320410184982398</v>
      </c>
      <c r="J44" s="71">
        <f t="shared" si="21"/>
        <v>4.056262428503733</v>
      </c>
      <c r="K44" s="71">
        <f t="shared" si="21"/>
        <v>3.825399872118789</v>
      </c>
      <c r="L44" s="71">
        <f t="shared" si="21"/>
        <v>3.621953170395472</v>
      </c>
      <c r="M44" s="71">
        <f t="shared" si="21"/>
        <v>3.4413573796861123</v>
      </c>
      <c r="N44" s="71">
        <f t="shared" si="21"/>
        <v>3.2751603256835944</v>
      </c>
      <c r="O44" s="71">
        <f t="shared" si="21"/>
        <v>3.118766575220478</v>
      </c>
      <c r="P44" s="71">
        <f t="shared" si="21"/>
        <v>2.9773007468353434</v>
      </c>
      <c r="Q44" s="71">
        <f t="shared" si="21"/>
        <v>2.848727441423959</v>
      </c>
      <c r="R44" s="71">
        <f t="shared" si="21"/>
        <v>2.7313652444020353</v>
      </c>
      <c r="S44" s="71">
        <f t="shared" si="21"/>
        <v>2.6238129789539064</v>
      </c>
      <c r="T44" s="71">
        <f t="shared" si="21"/>
        <v>2.5188604597957505</v>
      </c>
      <c r="U44" s="71">
        <f t="shared" si="21"/>
        <v>2.421981211342068</v>
      </c>
      <c r="V44" s="71">
        <f t="shared" si="21"/>
        <v>2.332278203514584</v>
      </c>
      <c r="W44" s="71">
        <f t="shared" si="21"/>
        <v>2.248982553389063</v>
      </c>
      <c r="X44" s="71">
        <f t="shared" si="21"/>
        <v>2.1714314308584055</v>
      </c>
      <c r="Y44" s="71">
        <f t="shared" si="21"/>
        <v>2.0990503831631253</v>
      </c>
    </row>
    <row r="45" spans="1:25" s="9" customFormat="1" ht="15" customHeight="1" hidden="1" outlineLevel="1">
      <c r="A45" s="14"/>
      <c r="B45" s="8">
        <v>0.75</v>
      </c>
      <c r="C45" s="9">
        <f>C18</f>
        <v>6.100365176067833</v>
      </c>
      <c r="D45" s="69"/>
      <c r="E45" s="69"/>
      <c r="F45" s="70" t="s">
        <v>25</v>
      </c>
      <c r="G45" s="71">
        <f aca="true" t="shared" si="22" ref="G45:Y45">$B48*$B$6/G42^2*2/1000000</f>
        <v>8.673363033491771</v>
      </c>
      <c r="H45" s="71">
        <f t="shared" si="22"/>
        <v>7.390321164632043</v>
      </c>
      <c r="I45" s="71">
        <f t="shared" si="22"/>
        <v>6.402313349531252</v>
      </c>
      <c r="J45" s="71">
        <f t="shared" si="22"/>
        <v>5.643376863334664</v>
      </c>
      <c r="K45" s="71">
        <f t="shared" si="22"/>
        <v>5.019270964973241</v>
      </c>
      <c r="L45" s="71">
        <f t="shared" si="22"/>
        <v>4.499586709831201</v>
      </c>
      <c r="M45" s="71">
        <f t="shared" si="22"/>
        <v>4.062061694763272</v>
      </c>
      <c r="N45" s="71">
        <f t="shared" si="22"/>
        <v>3.6791889525400445</v>
      </c>
      <c r="O45" s="71">
        <f t="shared" si="22"/>
        <v>3.336204822934284</v>
      </c>
      <c r="P45" s="71">
        <f t="shared" si="22"/>
        <v>3.0404115688529627</v>
      </c>
      <c r="Q45" s="71">
        <f t="shared" si="22"/>
        <v>2.783484208949196</v>
      </c>
      <c r="R45" s="71">
        <f t="shared" si="22"/>
        <v>2.5588599759288404</v>
      </c>
      <c r="S45" s="71">
        <f t="shared" si="22"/>
        <v>2.3613084196715377</v>
      </c>
      <c r="T45" s="71">
        <f t="shared" si="22"/>
        <v>2.17618183956929</v>
      </c>
      <c r="U45" s="71">
        <f t="shared" si="22"/>
        <v>2.012002440430187</v>
      </c>
      <c r="V45" s="71">
        <f t="shared" si="22"/>
        <v>1.8657251710984992</v>
      </c>
      <c r="W45" s="71">
        <f t="shared" si="22"/>
        <v>1.7348388389423548</v>
      </c>
      <c r="X45" s="71">
        <f t="shared" si="22"/>
        <v>1.6172576096680211</v>
      </c>
      <c r="Y45" s="72">
        <f t="shared" si="22"/>
        <v>1.5112373885897845</v>
      </c>
    </row>
    <row r="46" spans="3:25" s="9" customFormat="1" ht="15" customHeight="1" hidden="1" outlineLevel="1">
      <c r="C46" s="9">
        <f>J2/$E$9</f>
        <v>28.449959972269927</v>
      </c>
      <c r="D46" s="69"/>
      <c r="E46" s="69"/>
      <c r="F46" s="70" t="s">
        <v>26</v>
      </c>
      <c r="G46" s="71">
        <f aca="true" t="shared" si="23" ref="G46:Y46">1.27/(G41*1000000/($B49*$B$6)+0.5*G43/$C46)</f>
        <v>6.881608207536846</v>
      </c>
      <c r="H46" s="71">
        <f t="shared" si="23"/>
        <v>6.0212499764827765</v>
      </c>
      <c r="I46" s="71">
        <f t="shared" si="23"/>
        <v>5.275326578291648</v>
      </c>
      <c r="J46" s="71">
        <f t="shared" si="23"/>
        <v>4.60504757513441</v>
      </c>
      <c r="K46" s="71">
        <f t="shared" si="23"/>
        <v>4.046176809287225</v>
      </c>
      <c r="L46" s="71">
        <f t="shared" si="23"/>
        <v>3.5759941360932372</v>
      </c>
      <c r="M46" s="71">
        <f t="shared" si="23"/>
        <v>3.1772345777714524</v>
      </c>
      <c r="N46" s="71">
        <f t="shared" si="23"/>
        <v>2.8489784005914993</v>
      </c>
      <c r="O46" s="71">
        <f t="shared" si="23"/>
        <v>2.582630320520563</v>
      </c>
      <c r="P46" s="71">
        <f t="shared" si="23"/>
        <v>2.350482668151932</v>
      </c>
      <c r="Q46" s="71">
        <f t="shared" si="23"/>
        <v>2.146987718967684</v>
      </c>
      <c r="R46" s="71">
        <f t="shared" si="23"/>
        <v>1.9676759198179676</v>
      </c>
      <c r="S46" s="71">
        <f t="shared" si="23"/>
        <v>1.8089136916340904</v>
      </c>
      <c r="T46" s="71">
        <f t="shared" si="23"/>
        <v>1.679454848584733</v>
      </c>
      <c r="U46" s="71">
        <f t="shared" si="23"/>
        <v>1.5634503167184732</v>
      </c>
      <c r="V46" s="71">
        <f t="shared" si="23"/>
        <v>1.459093572394328</v>
      </c>
      <c r="W46" s="71">
        <f t="shared" si="23"/>
        <v>1.3648721391896663</v>
      </c>
      <c r="X46" s="71">
        <f t="shared" si="23"/>
        <v>1.2795118435135477</v>
      </c>
      <c r="Y46" s="72">
        <f t="shared" si="23"/>
        <v>1.2019330456751716</v>
      </c>
    </row>
    <row r="47" spans="3:25" s="9" customFormat="1" ht="15" customHeight="1" collapsed="1">
      <c r="C47" s="9">
        <f>I2/$E$9</f>
        <v>23.652860992033673</v>
      </c>
      <c r="D47" s="122">
        <f>B45</f>
        <v>0.75</v>
      </c>
      <c r="E47" s="119">
        <v>8.84</v>
      </c>
      <c r="F47" s="70" t="s">
        <v>38</v>
      </c>
      <c r="G47" s="71">
        <f aca="true" t="shared" si="24" ref="G47:Y47">MIN(G44,G45,G46)</f>
        <v>5.02863693029806</v>
      </c>
      <c r="H47" s="71">
        <f t="shared" si="24"/>
        <v>4.641818704890516</v>
      </c>
      <c r="I47" s="71">
        <f t="shared" si="24"/>
        <v>4.320410184982398</v>
      </c>
      <c r="J47" s="71">
        <f t="shared" si="24"/>
        <v>4.056262428503733</v>
      </c>
      <c r="K47" s="71">
        <f t="shared" si="24"/>
        <v>3.825399872118789</v>
      </c>
      <c r="L47" s="71">
        <f t="shared" si="24"/>
        <v>3.5759941360932372</v>
      </c>
      <c r="M47" s="71">
        <f t="shared" si="24"/>
        <v>3.1772345777714524</v>
      </c>
      <c r="N47" s="71">
        <f t="shared" si="24"/>
        <v>2.8489784005914993</v>
      </c>
      <c r="O47" s="71">
        <f t="shared" si="24"/>
        <v>2.582630320520563</v>
      </c>
      <c r="P47" s="71">
        <f t="shared" si="24"/>
        <v>2.350482668151932</v>
      </c>
      <c r="Q47" s="71">
        <f t="shared" si="24"/>
        <v>2.146987718967684</v>
      </c>
      <c r="R47" s="71">
        <f t="shared" si="24"/>
        <v>1.9676759198179676</v>
      </c>
      <c r="S47" s="71">
        <f t="shared" si="24"/>
        <v>1.8089136916340904</v>
      </c>
      <c r="T47" s="71">
        <f t="shared" si="24"/>
        <v>1.679454848584733</v>
      </c>
      <c r="U47" s="71">
        <f t="shared" si="24"/>
        <v>1.5634503167184732</v>
      </c>
      <c r="V47" s="71">
        <f t="shared" si="24"/>
        <v>1.459093572394328</v>
      </c>
      <c r="W47" s="71">
        <f t="shared" si="24"/>
        <v>1.3648721391896663</v>
      </c>
      <c r="X47" s="71">
        <f t="shared" si="24"/>
        <v>1.2795118435135477</v>
      </c>
      <c r="Y47" s="72">
        <f t="shared" si="24"/>
        <v>1.2019330456751716</v>
      </c>
    </row>
    <row r="48" spans="1:25" s="9" customFormat="1" ht="15" customHeight="1" hidden="1" outlineLevel="1">
      <c r="A48" s="15" t="s">
        <v>1</v>
      </c>
      <c r="B48" s="8">
        <f>C$2</f>
        <v>20970</v>
      </c>
      <c r="D48" s="120"/>
      <c r="E48" s="120"/>
      <c r="F48" s="70" t="s">
        <v>27</v>
      </c>
      <c r="G48" s="71">
        <f aca="true" t="shared" si="25" ref="G48:Y48">IF(G$38&lt;$P$4,IF(G$38&lt;$P$3,$Q$3*G$40,($Q$3+($Q$4-$Q$3)*(G$38-$P$3)/($P$4-$P$3))*G$40),IF(G$38&gt;6,0.9*G$40,($Q$4+(0.9-$Q$4)*(G$38-$P$4)/($P$5-$P$4))*G$40))</f>
        <v>0.8325</v>
      </c>
      <c r="H48" s="71">
        <f t="shared" si="25"/>
        <v>0.97703125</v>
      </c>
      <c r="I48" s="71">
        <f t="shared" si="25"/>
        <v>1.133125</v>
      </c>
      <c r="J48" s="71">
        <f t="shared" si="25"/>
        <v>1.3392333984375</v>
      </c>
      <c r="K48" s="71">
        <f t="shared" si="25"/>
        <v>1.5675</v>
      </c>
      <c r="L48" s="71">
        <f t="shared" si="25"/>
        <v>1.8189501953124998</v>
      </c>
      <c r="M48" s="71">
        <f t="shared" si="25"/>
        <v>2.0946093749999997</v>
      </c>
      <c r="N48" s="71">
        <f t="shared" si="25"/>
        <v>2.389130108173077</v>
      </c>
      <c r="O48" s="71">
        <f t="shared" si="25"/>
        <v>2.6802884615384612</v>
      </c>
      <c r="P48" s="71">
        <f t="shared" si="25"/>
        <v>2.9914588341346153</v>
      </c>
      <c r="Q48" s="71">
        <f t="shared" si="25"/>
        <v>3.323137019230769</v>
      </c>
      <c r="R48" s="71">
        <f t="shared" si="25"/>
        <v>3.675818810096154</v>
      </c>
      <c r="S48" s="71">
        <f t="shared" si="25"/>
        <v>4.05</v>
      </c>
      <c r="T48" s="71">
        <f t="shared" si="25"/>
        <v>4.39453125</v>
      </c>
      <c r="U48" s="71">
        <f t="shared" si="25"/>
        <v>4.753125</v>
      </c>
      <c r="V48" s="71">
        <f t="shared" si="25"/>
        <v>5.12578125</v>
      </c>
      <c r="W48" s="71">
        <f t="shared" si="25"/>
        <v>5.5125</v>
      </c>
      <c r="X48" s="71">
        <f t="shared" si="25"/>
        <v>5.91328125</v>
      </c>
      <c r="Y48" s="72">
        <f t="shared" si="25"/>
        <v>6.328125</v>
      </c>
    </row>
    <row r="49" spans="1:25" s="9" customFormat="1" ht="15" customHeight="1" hidden="1" outlineLevel="1">
      <c r="A49" s="15" t="s">
        <v>2</v>
      </c>
      <c r="B49" s="9">
        <f>D$2</f>
        <v>23227.5</v>
      </c>
      <c r="D49" s="120"/>
      <c r="E49" s="120"/>
      <c r="F49" s="70" t="s">
        <v>22</v>
      </c>
      <c r="G49" s="71">
        <f aca="true" t="shared" si="26" ref="G49:Y49">G$38/2-G48/G$38</f>
        <v>1.2225</v>
      </c>
      <c r="H49" s="71">
        <f t="shared" si="26"/>
        <v>1.3243749999999999</v>
      </c>
      <c r="I49" s="71">
        <f t="shared" si="26"/>
        <v>1.42625</v>
      </c>
      <c r="J49" s="71">
        <f t="shared" si="26"/>
        <v>1.51787109375</v>
      </c>
      <c r="K49" s="71">
        <f t="shared" si="26"/>
        <v>1.608125</v>
      </c>
      <c r="L49" s="71">
        <f t="shared" si="26"/>
        <v>1.69701171875</v>
      </c>
      <c r="M49" s="71">
        <f t="shared" si="26"/>
        <v>1.7845312500000001</v>
      </c>
      <c r="N49" s="71">
        <f t="shared" si="26"/>
        <v>1.8720252403846154</v>
      </c>
      <c r="O49" s="71">
        <f t="shared" si="26"/>
        <v>1.9639423076923077</v>
      </c>
      <c r="P49" s="71">
        <f t="shared" si="26"/>
        <v>2.0551983173076924</v>
      </c>
      <c r="Q49" s="71">
        <f t="shared" si="26"/>
        <v>2.1457932692307695</v>
      </c>
      <c r="R49" s="71">
        <f t="shared" si="26"/>
        <v>2.2357271634615383</v>
      </c>
      <c r="S49" s="71">
        <f t="shared" si="26"/>
        <v>2.325</v>
      </c>
      <c r="T49" s="71">
        <f t="shared" si="26"/>
        <v>2.421875</v>
      </c>
      <c r="U49" s="71">
        <f t="shared" si="26"/>
        <v>2.51875</v>
      </c>
      <c r="V49" s="71">
        <f t="shared" si="26"/>
        <v>2.615625</v>
      </c>
      <c r="W49" s="71">
        <f t="shared" si="26"/>
        <v>2.7125</v>
      </c>
      <c r="X49" s="71">
        <f t="shared" si="26"/>
        <v>2.809375</v>
      </c>
      <c r="Y49" s="72">
        <f t="shared" si="26"/>
        <v>2.90625</v>
      </c>
    </row>
    <row r="50" spans="1:25" s="9" customFormat="1" ht="15" customHeight="1" hidden="1" outlineLevel="1">
      <c r="A50" s="8" t="s">
        <v>3</v>
      </c>
      <c r="B50" s="8">
        <f>E$2</f>
        <v>1670000</v>
      </c>
      <c r="D50" s="120"/>
      <c r="E50" s="120"/>
      <c r="F50" s="70" t="s">
        <v>23</v>
      </c>
      <c r="G50" s="71">
        <f aca="true" t="shared" si="27" ref="G50:Y50">2*(G$38-G49)</f>
        <v>3.555</v>
      </c>
      <c r="H50" s="71">
        <f t="shared" si="27"/>
        <v>3.8512500000000003</v>
      </c>
      <c r="I50" s="71">
        <f t="shared" si="27"/>
        <v>4.1475</v>
      </c>
      <c r="J50" s="71">
        <f t="shared" si="27"/>
        <v>4.4642578125</v>
      </c>
      <c r="K50" s="71">
        <f t="shared" si="27"/>
        <v>4.7837499999999995</v>
      </c>
      <c r="L50" s="71">
        <f t="shared" si="27"/>
        <v>5.1059765625</v>
      </c>
      <c r="M50" s="71">
        <f t="shared" si="27"/>
        <v>5.4309375</v>
      </c>
      <c r="N50" s="71">
        <f t="shared" si="27"/>
        <v>5.75594951923077</v>
      </c>
      <c r="O50" s="71">
        <f t="shared" si="27"/>
        <v>6.072115384615385</v>
      </c>
      <c r="P50" s="71">
        <f t="shared" si="27"/>
        <v>6.389603365384615</v>
      </c>
      <c r="Q50" s="71">
        <f t="shared" si="27"/>
        <v>6.708413461538461</v>
      </c>
      <c r="R50" s="71">
        <f t="shared" si="27"/>
        <v>7.028545673076923</v>
      </c>
      <c r="S50" s="71">
        <f t="shared" si="27"/>
        <v>7.35</v>
      </c>
      <c r="T50" s="71">
        <f t="shared" si="27"/>
        <v>7.65625</v>
      </c>
      <c r="U50" s="71">
        <f t="shared" si="27"/>
        <v>7.9625</v>
      </c>
      <c r="V50" s="71">
        <f t="shared" si="27"/>
        <v>8.26875</v>
      </c>
      <c r="W50" s="71">
        <f t="shared" si="27"/>
        <v>8.575</v>
      </c>
      <c r="X50" s="71">
        <f t="shared" si="27"/>
        <v>8.88125</v>
      </c>
      <c r="Y50" s="72">
        <f t="shared" si="27"/>
        <v>9.1875</v>
      </c>
    </row>
    <row r="51" spans="1:25" s="9" customFormat="1" ht="15" customHeight="1" hidden="1" outlineLevel="1">
      <c r="A51" s="8"/>
      <c r="B51" s="8"/>
      <c r="D51" s="120"/>
      <c r="E51" s="120"/>
      <c r="F51" s="70" t="s">
        <v>24</v>
      </c>
      <c r="G51" s="71">
        <f aca="true" t="shared" si="28" ref="G51:Y51">$C45/G49</f>
        <v>4.99007376365467</v>
      </c>
      <c r="H51" s="71">
        <f t="shared" si="28"/>
        <v>4.6062219356812335</v>
      </c>
      <c r="I51" s="71">
        <f t="shared" si="28"/>
        <v>4.277206083132573</v>
      </c>
      <c r="J51" s="71">
        <f t="shared" si="28"/>
        <v>4.019027176409613</v>
      </c>
      <c r="K51" s="71">
        <f t="shared" si="28"/>
        <v>3.7934645478851663</v>
      </c>
      <c r="L51" s="71">
        <f t="shared" si="28"/>
        <v>3.594769033511032</v>
      </c>
      <c r="M51" s="71">
        <f t="shared" si="28"/>
        <v>3.41846923446582</v>
      </c>
      <c r="N51" s="71">
        <f t="shared" si="28"/>
        <v>3.2586981438425946</v>
      </c>
      <c r="O51" s="71">
        <f t="shared" si="28"/>
        <v>3.1061834923429847</v>
      </c>
      <c r="P51" s="71">
        <f t="shared" si="28"/>
        <v>2.9682610795727515</v>
      </c>
      <c r="Q51" s="71">
        <f t="shared" si="28"/>
        <v>2.842941705309156</v>
      </c>
      <c r="R51" s="71">
        <f t="shared" si="28"/>
        <v>2.728582125657382</v>
      </c>
      <c r="S51" s="71">
        <f t="shared" si="28"/>
        <v>2.6238129789539064</v>
      </c>
      <c r="T51" s="71">
        <f t="shared" si="28"/>
        <v>2.5188604597957505</v>
      </c>
      <c r="U51" s="71">
        <f t="shared" si="28"/>
        <v>2.421981211342068</v>
      </c>
      <c r="V51" s="71">
        <f t="shared" si="28"/>
        <v>2.332278203514584</v>
      </c>
      <c r="W51" s="71">
        <f t="shared" si="28"/>
        <v>2.248982553389063</v>
      </c>
      <c r="X51" s="71">
        <f t="shared" si="28"/>
        <v>2.1714314308584055</v>
      </c>
      <c r="Y51" s="71">
        <f t="shared" si="28"/>
        <v>2.0990503831631253</v>
      </c>
    </row>
    <row r="52" spans="1:25" s="9" customFormat="1" ht="15" customHeight="1" hidden="1" outlineLevel="1">
      <c r="A52" s="8" t="s">
        <v>28</v>
      </c>
      <c r="B52" s="17">
        <f>F$2</f>
        <v>1165000</v>
      </c>
      <c r="D52" s="120"/>
      <c r="E52" s="120"/>
      <c r="F52" s="70" t="s">
        <v>25</v>
      </c>
      <c r="G52" s="71">
        <f aca="true" t="shared" si="29" ref="G52:Y52">$B48*$B$6/G49^2*2/1000000</f>
        <v>8.54084606610843</v>
      </c>
      <c r="H52" s="71">
        <f t="shared" si="29"/>
        <v>7.277407298932627</v>
      </c>
      <c r="I52" s="71">
        <f t="shared" si="29"/>
        <v>6.27490731387558</v>
      </c>
      <c r="J52" s="71">
        <f t="shared" si="29"/>
        <v>5.540243455452358</v>
      </c>
      <c r="K52" s="71">
        <f t="shared" si="29"/>
        <v>4.935816699560189</v>
      </c>
      <c r="L52" s="71">
        <f t="shared" si="29"/>
        <v>4.43229795370201</v>
      </c>
      <c r="M52" s="71">
        <f t="shared" si="29"/>
        <v>4.008208595422</v>
      </c>
      <c r="N52" s="71">
        <f t="shared" si="29"/>
        <v>3.6422959432527655</v>
      </c>
      <c r="O52" s="71">
        <f t="shared" si="29"/>
        <v>3.3093383971740433</v>
      </c>
      <c r="P52" s="71">
        <f t="shared" si="29"/>
        <v>3.0219770287180547</v>
      </c>
      <c r="Q52" s="71">
        <f t="shared" si="29"/>
        <v>2.7721892350343946</v>
      </c>
      <c r="R52" s="71">
        <f t="shared" si="29"/>
        <v>2.5536479429330003</v>
      </c>
      <c r="S52" s="71">
        <f t="shared" si="29"/>
        <v>2.3613084196715377</v>
      </c>
      <c r="T52" s="71">
        <f t="shared" si="29"/>
        <v>2.17618183956929</v>
      </c>
      <c r="U52" s="71">
        <f t="shared" si="29"/>
        <v>2.012002440430187</v>
      </c>
      <c r="V52" s="71">
        <f t="shared" si="29"/>
        <v>1.8657251710984992</v>
      </c>
      <c r="W52" s="71">
        <f t="shared" si="29"/>
        <v>1.7348388389423548</v>
      </c>
      <c r="X52" s="71">
        <f t="shared" si="29"/>
        <v>1.6172576096680211</v>
      </c>
      <c r="Y52" s="72">
        <f t="shared" si="29"/>
        <v>1.5112373885897845</v>
      </c>
    </row>
    <row r="53" spans="1:25" s="9" customFormat="1" ht="15" customHeight="1" hidden="1" outlineLevel="1">
      <c r="A53" s="9" t="s">
        <v>29</v>
      </c>
      <c r="B53" s="19">
        <f>0.65*B50+0.35*B52</f>
        <v>1493250</v>
      </c>
      <c r="D53" s="120"/>
      <c r="E53" s="120"/>
      <c r="F53" s="70" t="s">
        <v>26</v>
      </c>
      <c r="G53" s="71">
        <f aca="true" t="shared" si="30" ref="G53:Y53">1.27/(G48*1000000/($B49*$B$6)+0.5*G50/$C47)</f>
        <v>6.583271447510146</v>
      </c>
      <c r="H53" s="71">
        <f t="shared" si="30"/>
        <v>5.782695730622276</v>
      </c>
      <c r="I53" s="71">
        <f t="shared" si="30"/>
        <v>5.121713059243035</v>
      </c>
      <c r="J53" s="71">
        <f t="shared" si="30"/>
        <v>4.474737161198174</v>
      </c>
      <c r="K53" s="71">
        <f t="shared" si="30"/>
        <v>3.9336002050503107</v>
      </c>
      <c r="L53" s="71">
        <f t="shared" si="30"/>
        <v>3.4771594760585818</v>
      </c>
      <c r="M53" s="71">
        <f t="shared" si="30"/>
        <v>3.0892410294784667</v>
      </c>
      <c r="N53" s="71">
        <f t="shared" si="30"/>
        <v>2.7630501691728506</v>
      </c>
      <c r="O53" s="71">
        <f t="shared" si="30"/>
        <v>2.5024281082270274</v>
      </c>
      <c r="P53" s="71">
        <f t="shared" si="30"/>
        <v>2.2750234080652563</v>
      </c>
      <c r="Q53" s="71">
        <f t="shared" si="30"/>
        <v>2.0755232819448284</v>
      </c>
      <c r="R53" s="71">
        <f t="shared" si="30"/>
        <v>1.899631186928028</v>
      </c>
      <c r="S53" s="71">
        <f t="shared" si="30"/>
        <v>1.7438420223750666</v>
      </c>
      <c r="T53" s="71">
        <f t="shared" si="30"/>
        <v>1.6209575638910632</v>
      </c>
      <c r="U53" s="71">
        <f t="shared" si="30"/>
        <v>1.510668735670932</v>
      </c>
      <c r="V53" s="71">
        <f t="shared" si="30"/>
        <v>1.4113050582327802</v>
      </c>
      <c r="W53" s="71">
        <f t="shared" si="30"/>
        <v>1.3214649784985397</v>
      </c>
      <c r="X53" s="71">
        <f t="shared" si="30"/>
        <v>1.2399653855881854</v>
      </c>
      <c r="Y53" s="72">
        <f t="shared" si="30"/>
        <v>1.165801877598045</v>
      </c>
    </row>
    <row r="54" spans="4:25" s="16" customFormat="1" ht="15" customHeight="1" collapsed="1">
      <c r="D54" s="120"/>
      <c r="E54" s="120"/>
      <c r="F54" s="73" t="s">
        <v>39</v>
      </c>
      <c r="G54" s="74">
        <f aca="true" t="shared" si="31" ref="G54:Y54">MIN(G51,G52,G53)</f>
        <v>4.99007376365467</v>
      </c>
      <c r="H54" s="74">
        <f t="shared" si="31"/>
        <v>4.6062219356812335</v>
      </c>
      <c r="I54" s="74">
        <f t="shared" si="31"/>
        <v>4.277206083132573</v>
      </c>
      <c r="J54" s="74">
        <f t="shared" si="31"/>
        <v>4.019027176409613</v>
      </c>
      <c r="K54" s="74">
        <f t="shared" si="31"/>
        <v>3.7934645478851663</v>
      </c>
      <c r="L54" s="74">
        <f t="shared" si="31"/>
        <v>3.4771594760585818</v>
      </c>
      <c r="M54" s="74">
        <f t="shared" si="31"/>
        <v>3.0892410294784667</v>
      </c>
      <c r="N54" s="74">
        <f t="shared" si="31"/>
        <v>2.7630501691728506</v>
      </c>
      <c r="O54" s="74">
        <f t="shared" si="31"/>
        <v>2.5024281082270274</v>
      </c>
      <c r="P54" s="74">
        <f t="shared" si="31"/>
        <v>2.2750234080652563</v>
      </c>
      <c r="Q54" s="74">
        <f t="shared" si="31"/>
        <v>2.0755232819448284</v>
      </c>
      <c r="R54" s="74">
        <f t="shared" si="31"/>
        <v>1.899631186928028</v>
      </c>
      <c r="S54" s="74">
        <f t="shared" si="31"/>
        <v>1.7438420223750666</v>
      </c>
      <c r="T54" s="74">
        <f t="shared" si="31"/>
        <v>1.6209575638910632</v>
      </c>
      <c r="U54" s="74">
        <f t="shared" si="31"/>
        <v>1.510668735670932</v>
      </c>
      <c r="V54" s="74">
        <f t="shared" si="31"/>
        <v>1.4113050582327802</v>
      </c>
      <c r="W54" s="74">
        <f t="shared" si="31"/>
        <v>1.3214649784985397</v>
      </c>
      <c r="X54" s="74">
        <f t="shared" si="31"/>
        <v>1.2399653855881854</v>
      </c>
      <c r="Y54" s="75">
        <f t="shared" si="31"/>
        <v>1.165801877598045</v>
      </c>
    </row>
    <row r="55" spans="4:25" s="8" customFormat="1" ht="15" customHeight="1">
      <c r="D55" s="120"/>
      <c r="E55" s="120"/>
      <c r="F55" s="70" t="s">
        <v>36</v>
      </c>
      <c r="G55" s="71">
        <f aca="true" t="shared" si="32" ref="G55:Y55">192*$B$7*$B53/(G$15*1000)^3/$B$11</f>
        <v>14.866133333333334</v>
      </c>
      <c r="H55" s="71">
        <f t="shared" si="32"/>
        <v>11.692616477014111</v>
      </c>
      <c r="I55" s="71">
        <f t="shared" si="32"/>
        <v>9.361763265306122</v>
      </c>
      <c r="J55" s="71">
        <f t="shared" si="32"/>
        <v>7.611460266666667</v>
      </c>
      <c r="K55" s="71">
        <f t="shared" si="32"/>
        <v>6.271649999999999</v>
      </c>
      <c r="L55" s="71">
        <f t="shared" si="32"/>
        <v>5.2287153266843065</v>
      </c>
      <c r="M55" s="71">
        <f t="shared" si="32"/>
        <v>4.40478024691358</v>
      </c>
      <c r="N55" s="71">
        <f t="shared" si="32"/>
        <v>3.7452512611167807</v>
      </c>
      <c r="O55" s="71">
        <f t="shared" si="32"/>
        <v>3.2110848</v>
      </c>
      <c r="P55" s="71">
        <f t="shared" si="32"/>
        <v>2.7738557823129253</v>
      </c>
      <c r="Q55" s="71">
        <f t="shared" si="32"/>
        <v>2.4125355371900823</v>
      </c>
      <c r="R55" s="71">
        <f t="shared" si="32"/>
        <v>2.111340379715624</v>
      </c>
      <c r="S55" s="71">
        <f t="shared" si="32"/>
        <v>1.8582666666666667</v>
      </c>
      <c r="T55" s="71">
        <f t="shared" si="32"/>
        <v>1.6440754175999999</v>
      </c>
      <c r="U55" s="71">
        <f t="shared" si="32"/>
        <v>1.4615770596267639</v>
      </c>
      <c r="V55" s="71">
        <f t="shared" si="32"/>
        <v>1.3051200731595793</v>
      </c>
      <c r="W55" s="71">
        <f t="shared" si="32"/>
        <v>1.1702204081632652</v>
      </c>
      <c r="X55" s="71">
        <f t="shared" si="32"/>
        <v>1.0532895321661404</v>
      </c>
      <c r="Y55" s="72">
        <f t="shared" si="32"/>
        <v>0.9514325333333333</v>
      </c>
    </row>
    <row r="56" spans="4:25" s="11" customFormat="1" ht="15" customHeight="1">
      <c r="D56" s="121"/>
      <c r="E56" s="121"/>
      <c r="F56" s="76" t="s">
        <v>37</v>
      </c>
      <c r="G56" s="77">
        <f aca="true" t="shared" si="33" ref="G56:Y56">G55*$B$11/$B$12</f>
        <v>7.433066666666667</v>
      </c>
      <c r="H56" s="77">
        <f t="shared" si="33"/>
        <v>5.8463082385070555</v>
      </c>
      <c r="I56" s="77">
        <f t="shared" si="33"/>
        <v>4.680881632653061</v>
      </c>
      <c r="J56" s="77">
        <f t="shared" si="33"/>
        <v>3.8057301333333333</v>
      </c>
      <c r="K56" s="77">
        <f t="shared" si="33"/>
        <v>3.1358249999999996</v>
      </c>
      <c r="L56" s="77">
        <f t="shared" si="33"/>
        <v>2.6143576633421532</v>
      </c>
      <c r="M56" s="77">
        <f t="shared" si="33"/>
        <v>2.20239012345679</v>
      </c>
      <c r="N56" s="77">
        <f t="shared" si="33"/>
        <v>1.8726256305583904</v>
      </c>
      <c r="O56" s="77">
        <f t="shared" si="33"/>
        <v>1.6055424</v>
      </c>
      <c r="P56" s="77">
        <f t="shared" si="33"/>
        <v>1.3869278911564626</v>
      </c>
      <c r="Q56" s="77">
        <f t="shared" si="33"/>
        <v>1.2062677685950411</v>
      </c>
      <c r="R56" s="77">
        <f t="shared" si="33"/>
        <v>1.055670189857812</v>
      </c>
      <c r="S56" s="77">
        <f t="shared" si="33"/>
        <v>0.9291333333333334</v>
      </c>
      <c r="T56" s="77">
        <f t="shared" si="33"/>
        <v>0.8220377087999999</v>
      </c>
      <c r="U56" s="77">
        <f t="shared" si="33"/>
        <v>0.7307885298133819</v>
      </c>
      <c r="V56" s="77">
        <f t="shared" si="33"/>
        <v>0.6525600365797897</v>
      </c>
      <c r="W56" s="77">
        <f t="shared" si="33"/>
        <v>0.5851102040816326</v>
      </c>
      <c r="X56" s="77">
        <f t="shared" si="33"/>
        <v>0.5266447660830702</v>
      </c>
      <c r="Y56" s="78">
        <f t="shared" si="33"/>
        <v>0.47571626666666667</v>
      </c>
    </row>
    <row r="57" spans="2:25" s="9" customFormat="1" ht="15" customHeight="1" hidden="1" outlineLevel="1">
      <c r="B57" s="8"/>
      <c r="D57" s="79"/>
      <c r="E57" s="79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</row>
    <row r="58" spans="2:25" s="9" customFormat="1" ht="15" customHeight="1" hidden="1" outlineLevel="1">
      <c r="B58" s="8">
        <f>I58*1000000/($B66*$B$6)</f>
        <v>0.14262863438224677</v>
      </c>
      <c r="D58" s="79"/>
      <c r="E58" s="79"/>
      <c r="F58" s="70" t="s">
        <v>21</v>
      </c>
      <c r="G58" s="71">
        <f aca="true" t="shared" si="34" ref="G58:Y58">IF(G$38&lt;$M$4,IF(G$38&lt;$M$3,$N$3*G$40,($N$3+0.095*(G$38-$M$3)/1.25)*G$40),IF(G$38&gt;6,0.9*G$40,(0.86+0.04*(G$38-$M$4)/1.35)*G$40))</f>
        <v>0.860625</v>
      </c>
      <c r="H58" s="71">
        <f t="shared" si="34"/>
        <v>1.0100390625</v>
      </c>
      <c r="I58" s="71">
        <f t="shared" si="34"/>
        <v>1.1830437500000002</v>
      </c>
      <c r="J58" s="71">
        <f t="shared" si="34"/>
        <v>1.3914843749999999</v>
      </c>
      <c r="K58" s="71">
        <f t="shared" si="34"/>
        <v>1.6212</v>
      </c>
      <c r="L58" s="71">
        <f t="shared" si="34"/>
        <v>1.87308125</v>
      </c>
      <c r="M58" s="71">
        <f t="shared" si="34"/>
        <v>2.14801875</v>
      </c>
      <c r="N58" s="71">
        <f t="shared" si="34"/>
        <v>2.433825231481481</v>
      </c>
      <c r="O58" s="71">
        <f t="shared" si="34"/>
        <v>2.7199074074074074</v>
      </c>
      <c r="P58" s="71">
        <f t="shared" si="34"/>
        <v>3.02421875</v>
      </c>
      <c r="Q58" s="71">
        <f t="shared" si="34"/>
        <v>3.3471064814814815</v>
      </c>
      <c r="R58" s="71">
        <f t="shared" si="34"/>
        <v>3.6889178240740743</v>
      </c>
      <c r="S58" s="71">
        <f t="shared" si="34"/>
        <v>4.05</v>
      </c>
      <c r="T58" s="71">
        <f t="shared" si="34"/>
        <v>4.39453125</v>
      </c>
      <c r="U58" s="71">
        <f t="shared" si="34"/>
        <v>4.753125</v>
      </c>
      <c r="V58" s="71">
        <f t="shared" si="34"/>
        <v>5.12578125</v>
      </c>
      <c r="W58" s="71">
        <f t="shared" si="34"/>
        <v>5.5125</v>
      </c>
      <c r="X58" s="71">
        <f t="shared" si="34"/>
        <v>5.91328125</v>
      </c>
      <c r="Y58" s="72">
        <f t="shared" si="34"/>
        <v>6.328125</v>
      </c>
    </row>
    <row r="59" spans="2:25" s="9" customFormat="1" ht="15" customHeight="1" hidden="1" outlineLevel="1">
      <c r="B59" s="8">
        <f>0.5*I60/$C63*$E$9</f>
        <v>0.06270807323775465</v>
      </c>
      <c r="D59" s="79"/>
      <c r="E59" s="79"/>
      <c r="F59" s="70" t="s">
        <v>22</v>
      </c>
      <c r="G59" s="71">
        <f aca="true" t="shared" si="35" ref="G59:Y59">G$38/2-G58/G$38</f>
        <v>1.213125</v>
      </c>
      <c r="H59" s="71">
        <f t="shared" si="35"/>
        <v>1.31421875</v>
      </c>
      <c r="I59" s="71">
        <f t="shared" si="35"/>
        <v>1.4119875</v>
      </c>
      <c r="J59" s="71">
        <f t="shared" si="35"/>
        <v>1.5039375000000001</v>
      </c>
      <c r="K59" s="71">
        <f t="shared" si="35"/>
        <v>1.5947</v>
      </c>
      <c r="L59" s="71">
        <f t="shared" si="35"/>
        <v>1.684275</v>
      </c>
      <c r="M59" s="71">
        <f t="shared" si="35"/>
        <v>1.7726625</v>
      </c>
      <c r="N59" s="71">
        <f t="shared" si="35"/>
        <v>1.8626157407407407</v>
      </c>
      <c r="O59" s="71">
        <f t="shared" si="35"/>
        <v>1.9560185185185186</v>
      </c>
      <c r="P59" s="71">
        <f t="shared" si="35"/>
        <v>2.048958333333333</v>
      </c>
      <c r="Q59" s="71">
        <f t="shared" si="35"/>
        <v>2.141435185185185</v>
      </c>
      <c r="R59" s="71">
        <f t="shared" si="35"/>
        <v>2.2334490740740742</v>
      </c>
      <c r="S59" s="71">
        <f t="shared" si="35"/>
        <v>2.325</v>
      </c>
      <c r="T59" s="71">
        <f t="shared" si="35"/>
        <v>2.421875</v>
      </c>
      <c r="U59" s="71">
        <f t="shared" si="35"/>
        <v>2.51875</v>
      </c>
      <c r="V59" s="71">
        <f t="shared" si="35"/>
        <v>2.615625</v>
      </c>
      <c r="W59" s="71">
        <f t="shared" si="35"/>
        <v>2.7125</v>
      </c>
      <c r="X59" s="71">
        <f t="shared" si="35"/>
        <v>2.809375</v>
      </c>
      <c r="Y59" s="72">
        <f t="shared" si="35"/>
        <v>2.90625</v>
      </c>
    </row>
    <row r="60" spans="2:25" s="9" customFormat="1" ht="15" customHeight="1" hidden="1" outlineLevel="1">
      <c r="B60" s="8"/>
      <c r="D60" s="79"/>
      <c r="E60" s="79"/>
      <c r="F60" s="70" t="s">
        <v>23</v>
      </c>
      <c r="G60" s="71">
        <f aca="true" t="shared" si="36" ref="G60:Y60">2*(G$38-G59)</f>
        <v>3.57375</v>
      </c>
      <c r="H60" s="71">
        <f t="shared" si="36"/>
        <v>3.8715625</v>
      </c>
      <c r="I60" s="71">
        <f t="shared" si="36"/>
        <v>4.176025</v>
      </c>
      <c r="J60" s="71">
        <f t="shared" si="36"/>
        <v>4.492125</v>
      </c>
      <c r="K60" s="71">
        <f t="shared" si="36"/>
        <v>4.8106</v>
      </c>
      <c r="L60" s="71">
        <f t="shared" si="36"/>
        <v>5.13145</v>
      </c>
      <c r="M60" s="71">
        <f t="shared" si="36"/>
        <v>5.454675</v>
      </c>
      <c r="N60" s="71">
        <f t="shared" si="36"/>
        <v>5.774768518518519</v>
      </c>
      <c r="O60" s="71">
        <f t="shared" si="36"/>
        <v>6.087962962962963</v>
      </c>
      <c r="P60" s="71">
        <f t="shared" si="36"/>
        <v>6.402083333333334</v>
      </c>
      <c r="Q60" s="71">
        <f t="shared" si="36"/>
        <v>6.71712962962963</v>
      </c>
      <c r="R60" s="71">
        <f t="shared" si="36"/>
        <v>7.0331018518518515</v>
      </c>
      <c r="S60" s="71">
        <f t="shared" si="36"/>
        <v>7.35</v>
      </c>
      <c r="T60" s="71">
        <f t="shared" si="36"/>
        <v>7.65625</v>
      </c>
      <c r="U60" s="71">
        <f t="shared" si="36"/>
        <v>7.9625</v>
      </c>
      <c r="V60" s="71">
        <f t="shared" si="36"/>
        <v>8.26875</v>
      </c>
      <c r="W60" s="71">
        <f t="shared" si="36"/>
        <v>8.575</v>
      </c>
      <c r="X60" s="71">
        <f t="shared" si="36"/>
        <v>8.88125</v>
      </c>
      <c r="Y60" s="72">
        <f t="shared" si="36"/>
        <v>9.1875</v>
      </c>
    </row>
    <row r="61" spans="2:25" s="9" customFormat="1" ht="15" customHeight="1" hidden="1" outlineLevel="1">
      <c r="B61" s="8"/>
      <c r="D61" s="79"/>
      <c r="E61" s="79"/>
      <c r="F61" s="70" t="s">
        <v>24</v>
      </c>
      <c r="G61" s="71">
        <f aca="true" t="shared" si="37" ref="G61:Y61">$C62/G59</f>
        <v>7.024442856409707</v>
      </c>
      <c r="H61" s="71">
        <f t="shared" si="37"/>
        <v>6.484101098224345</v>
      </c>
      <c r="I61" s="71">
        <f t="shared" si="37"/>
        <v>6.035129376274242</v>
      </c>
      <c r="J61" s="71">
        <f t="shared" si="37"/>
        <v>5.666144530728189</v>
      </c>
      <c r="K61" s="71">
        <f t="shared" si="37"/>
        <v>5.343655383571848</v>
      </c>
      <c r="L61" s="71">
        <f t="shared" si="37"/>
        <v>5.059463116285658</v>
      </c>
      <c r="M61" s="71">
        <f t="shared" si="37"/>
        <v>4.8071910136204865</v>
      </c>
      <c r="N61" s="71">
        <f t="shared" si="37"/>
        <v>4.575032334255434</v>
      </c>
      <c r="O61" s="71">
        <f t="shared" si="37"/>
        <v>4.356567772495426</v>
      </c>
      <c r="P61" s="71">
        <f t="shared" si="37"/>
        <v>4.158955846758895</v>
      </c>
      <c r="Q61" s="71">
        <f t="shared" si="37"/>
        <v>3.9793533323517845</v>
      </c>
      <c r="R61" s="71">
        <f t="shared" si="37"/>
        <v>3.8154114813272892</v>
      </c>
      <c r="S61" s="71">
        <f t="shared" si="37"/>
        <v>3.6651730065299035</v>
      </c>
      <c r="T61" s="71">
        <f t="shared" si="37"/>
        <v>3.5185660862687076</v>
      </c>
      <c r="U61" s="71">
        <f t="shared" si="37"/>
        <v>3.383236621412219</v>
      </c>
      <c r="V61" s="71">
        <f t="shared" si="37"/>
        <v>3.2579315613599142</v>
      </c>
      <c r="W61" s="71">
        <f t="shared" si="37"/>
        <v>3.1415768627399174</v>
      </c>
      <c r="X61" s="71">
        <f t="shared" si="37"/>
        <v>3.0332466260937134</v>
      </c>
      <c r="Y61" s="71">
        <f t="shared" si="37"/>
        <v>2.932138405223923</v>
      </c>
    </row>
    <row r="62" spans="1:25" s="9" customFormat="1" ht="15" customHeight="1" hidden="1" outlineLevel="1">
      <c r="A62" s="14"/>
      <c r="B62" s="8">
        <v>0.88</v>
      </c>
      <c r="C62" s="9">
        <f>C24</f>
        <v>8.521527240182026</v>
      </c>
      <c r="D62" s="79"/>
      <c r="E62" s="79"/>
      <c r="F62" s="70" t="s">
        <v>25</v>
      </c>
      <c r="G62" s="71">
        <f aca="true" t="shared" si="38" ref="G62:Y62">$B65*$B$6/G59^2*2/1000000</f>
        <v>10.6255935303006</v>
      </c>
      <c r="H62" s="71">
        <f t="shared" si="38"/>
        <v>9.053760167830099</v>
      </c>
      <c r="I62" s="71">
        <f t="shared" si="38"/>
        <v>7.843368142558791</v>
      </c>
      <c r="J62" s="71">
        <f t="shared" si="38"/>
        <v>6.91360761178195</v>
      </c>
      <c r="K62" s="71">
        <f t="shared" si="38"/>
        <v>6.149025803059732</v>
      </c>
      <c r="L62" s="71">
        <f t="shared" si="38"/>
        <v>5.512369221533787</v>
      </c>
      <c r="M62" s="71">
        <f t="shared" si="38"/>
        <v>4.9763645654968265</v>
      </c>
      <c r="N62" s="71">
        <f t="shared" si="38"/>
        <v>4.507313504566225</v>
      </c>
      <c r="O62" s="71">
        <f t="shared" si="38"/>
        <v>4.087129322898511</v>
      </c>
      <c r="P62" s="71">
        <f t="shared" si="38"/>
        <v>3.724757901947192</v>
      </c>
      <c r="Q62" s="71">
        <f t="shared" si="38"/>
        <v>3.4100004448214034</v>
      </c>
      <c r="R62" s="71">
        <f t="shared" si="38"/>
        <v>3.134817013906147</v>
      </c>
      <c r="S62" s="71">
        <f t="shared" si="38"/>
        <v>2.892799871309576</v>
      </c>
      <c r="T62" s="71">
        <f t="shared" si="38"/>
        <v>2.6660043613989055</v>
      </c>
      <c r="U62" s="71">
        <f t="shared" si="38"/>
        <v>2.4648708962637813</v>
      </c>
      <c r="V62" s="71">
        <f t="shared" si="38"/>
        <v>2.2856690341211463</v>
      </c>
      <c r="W62" s="71">
        <f t="shared" si="38"/>
        <v>2.125322354431525</v>
      </c>
      <c r="X62" s="71">
        <f t="shared" si="38"/>
        <v>1.9812755361169034</v>
      </c>
      <c r="Y62" s="72">
        <f t="shared" si="38"/>
        <v>1.8513919176381288</v>
      </c>
    </row>
    <row r="63" spans="2:25" s="9" customFormat="1" ht="15" customHeight="1" hidden="1" outlineLevel="1">
      <c r="B63" s="8"/>
      <c r="C63" s="9">
        <f>J3/$E$9</f>
        <v>38.291949521330544</v>
      </c>
      <c r="D63" s="79"/>
      <c r="E63" s="79"/>
      <c r="F63" s="70" t="s">
        <v>26</v>
      </c>
      <c r="G63" s="71">
        <f aca="true" t="shared" si="39" ref="G63:Y63">1.27/(G58*1000000/($B66*$B$6)+0.5*G60/$C63)</f>
        <v>8.442908407808751</v>
      </c>
      <c r="H63" s="71">
        <f t="shared" si="39"/>
        <v>7.369826321724844</v>
      </c>
      <c r="I63" s="71">
        <f t="shared" si="39"/>
        <v>6.4415540094192</v>
      </c>
      <c r="J63" s="71">
        <f t="shared" si="39"/>
        <v>5.6091776763968575</v>
      </c>
      <c r="K63" s="71">
        <f t="shared" si="39"/>
        <v>4.917375551325213</v>
      </c>
      <c r="L63" s="71">
        <f t="shared" si="39"/>
        <v>4.337070842344553</v>
      </c>
      <c r="M63" s="71">
        <f t="shared" si="39"/>
        <v>3.8462520922049905</v>
      </c>
      <c r="N63" s="71">
        <f t="shared" si="39"/>
        <v>3.4433370838600337</v>
      </c>
      <c r="O63" s="71">
        <f t="shared" si="39"/>
        <v>3.1172674853141076</v>
      </c>
      <c r="P63" s="71">
        <f t="shared" si="39"/>
        <v>2.8335707071342324</v>
      </c>
      <c r="Q63" s="71">
        <f t="shared" si="39"/>
        <v>2.5852992502970453</v>
      </c>
      <c r="R63" s="71">
        <f t="shared" si="39"/>
        <v>2.3668686212558776</v>
      </c>
      <c r="S63" s="71">
        <f t="shared" si="39"/>
        <v>2.173748624870951</v>
      </c>
      <c r="T63" s="71">
        <f t="shared" si="39"/>
        <v>2.0165771727789648</v>
      </c>
      <c r="U63" s="71">
        <f t="shared" si="39"/>
        <v>1.8758920860065311</v>
      </c>
      <c r="V63" s="71">
        <f t="shared" si="39"/>
        <v>1.7494611256184764</v>
      </c>
      <c r="W63" s="71">
        <f t="shared" si="39"/>
        <v>1.6354181506604095</v>
      </c>
      <c r="X63" s="71">
        <f t="shared" si="39"/>
        <v>1.5321932388553352</v>
      </c>
      <c r="Y63" s="72">
        <f t="shared" si="39"/>
        <v>1.438457912335658</v>
      </c>
    </row>
    <row r="64" spans="3:25" s="9" customFormat="1" ht="15" customHeight="1" collapsed="1">
      <c r="C64" s="9">
        <f>I3/$E$9</f>
        <v>31.93836741624661</v>
      </c>
      <c r="D64" s="122">
        <f>B62</f>
        <v>0.88</v>
      </c>
      <c r="E64" s="119">
        <v>10.36</v>
      </c>
      <c r="F64" s="70" t="s">
        <v>38</v>
      </c>
      <c r="G64" s="71">
        <f aca="true" t="shared" si="40" ref="G64:Y64">MIN(G61,G62,G63)</f>
        <v>7.024442856409707</v>
      </c>
      <c r="H64" s="71">
        <f t="shared" si="40"/>
        <v>6.484101098224345</v>
      </c>
      <c r="I64" s="71">
        <f t="shared" si="40"/>
        <v>6.035129376274242</v>
      </c>
      <c r="J64" s="71">
        <f t="shared" si="40"/>
        <v>5.6091776763968575</v>
      </c>
      <c r="K64" s="71">
        <f t="shared" si="40"/>
        <v>4.917375551325213</v>
      </c>
      <c r="L64" s="71">
        <f t="shared" si="40"/>
        <v>4.337070842344553</v>
      </c>
      <c r="M64" s="71">
        <f t="shared" si="40"/>
        <v>3.8462520922049905</v>
      </c>
      <c r="N64" s="71">
        <f t="shared" si="40"/>
        <v>3.4433370838600337</v>
      </c>
      <c r="O64" s="71">
        <f t="shared" si="40"/>
        <v>3.1172674853141076</v>
      </c>
      <c r="P64" s="71">
        <f t="shared" si="40"/>
        <v>2.8335707071342324</v>
      </c>
      <c r="Q64" s="71">
        <f t="shared" si="40"/>
        <v>2.5852992502970453</v>
      </c>
      <c r="R64" s="71">
        <f t="shared" si="40"/>
        <v>2.3668686212558776</v>
      </c>
      <c r="S64" s="71">
        <f t="shared" si="40"/>
        <v>2.173748624870951</v>
      </c>
      <c r="T64" s="71">
        <f t="shared" si="40"/>
        <v>2.0165771727789648</v>
      </c>
      <c r="U64" s="71">
        <f t="shared" si="40"/>
        <v>1.8758920860065311</v>
      </c>
      <c r="V64" s="71">
        <f t="shared" si="40"/>
        <v>1.7494611256184764</v>
      </c>
      <c r="W64" s="71">
        <f t="shared" si="40"/>
        <v>1.6354181506604095</v>
      </c>
      <c r="X64" s="71">
        <f t="shared" si="40"/>
        <v>1.5321932388553352</v>
      </c>
      <c r="Y64" s="72">
        <f t="shared" si="40"/>
        <v>1.438457912335658</v>
      </c>
    </row>
    <row r="65" spans="1:25" s="9" customFormat="1" ht="15" customHeight="1" hidden="1" outlineLevel="1">
      <c r="A65" s="15" t="s">
        <v>1</v>
      </c>
      <c r="B65" s="8">
        <f>C$3</f>
        <v>25690</v>
      </c>
      <c r="D65" s="120"/>
      <c r="E65" s="120"/>
      <c r="F65" s="70" t="s">
        <v>27</v>
      </c>
      <c r="G65" s="71">
        <f aca="true" t="shared" si="41" ref="G65:Y65">IF(G$38&lt;$P$4,IF(G$38&lt;$P$3,$Q$3*G$40,($Q$3+($Q$4-$Q$3)*(G$38-$P$3)/($P$4-$P$3))*G$40),IF(G$38&gt;6,0.9*G$40,($Q$4+(0.9-$Q$4)*(G$38-$P$4)/($P$5-$P$4))*G$40))</f>
        <v>0.8325</v>
      </c>
      <c r="H65" s="71">
        <f t="shared" si="41"/>
        <v>0.97703125</v>
      </c>
      <c r="I65" s="71">
        <f t="shared" si="41"/>
        <v>1.133125</v>
      </c>
      <c r="J65" s="71">
        <f t="shared" si="41"/>
        <v>1.3392333984375</v>
      </c>
      <c r="K65" s="71">
        <f t="shared" si="41"/>
        <v>1.5675</v>
      </c>
      <c r="L65" s="71">
        <f t="shared" si="41"/>
        <v>1.8189501953124998</v>
      </c>
      <c r="M65" s="71">
        <f t="shared" si="41"/>
        <v>2.0946093749999997</v>
      </c>
      <c r="N65" s="71">
        <f t="shared" si="41"/>
        <v>2.389130108173077</v>
      </c>
      <c r="O65" s="71">
        <f t="shared" si="41"/>
        <v>2.6802884615384612</v>
      </c>
      <c r="P65" s="71">
        <f t="shared" si="41"/>
        <v>2.9914588341346153</v>
      </c>
      <c r="Q65" s="71">
        <f t="shared" si="41"/>
        <v>3.323137019230769</v>
      </c>
      <c r="R65" s="71">
        <f t="shared" si="41"/>
        <v>3.675818810096154</v>
      </c>
      <c r="S65" s="71">
        <f t="shared" si="41"/>
        <v>4.05</v>
      </c>
      <c r="T65" s="71">
        <f t="shared" si="41"/>
        <v>4.39453125</v>
      </c>
      <c r="U65" s="71">
        <f t="shared" si="41"/>
        <v>4.753125</v>
      </c>
      <c r="V65" s="71">
        <f t="shared" si="41"/>
        <v>5.12578125</v>
      </c>
      <c r="W65" s="71">
        <f t="shared" si="41"/>
        <v>5.5125</v>
      </c>
      <c r="X65" s="71">
        <f t="shared" si="41"/>
        <v>5.91328125</v>
      </c>
      <c r="Y65" s="72">
        <f t="shared" si="41"/>
        <v>6.328125</v>
      </c>
    </row>
    <row r="66" spans="1:25" s="9" customFormat="1" ht="15" customHeight="1" hidden="1" outlineLevel="1">
      <c r="A66" s="15" t="s">
        <v>2</v>
      </c>
      <c r="B66" s="9">
        <f>D$3</f>
        <v>27253.6</v>
      </c>
      <c r="D66" s="120"/>
      <c r="E66" s="120"/>
      <c r="F66" s="70" t="s">
        <v>22</v>
      </c>
      <c r="G66" s="71">
        <f aca="true" t="shared" si="42" ref="G66:Y66">G$38/2-G65/G$38</f>
        <v>1.2225</v>
      </c>
      <c r="H66" s="71">
        <f t="shared" si="42"/>
        <v>1.3243749999999999</v>
      </c>
      <c r="I66" s="71">
        <f t="shared" si="42"/>
        <v>1.42625</v>
      </c>
      <c r="J66" s="71">
        <f t="shared" si="42"/>
        <v>1.51787109375</v>
      </c>
      <c r="K66" s="71">
        <f t="shared" si="42"/>
        <v>1.608125</v>
      </c>
      <c r="L66" s="71">
        <f t="shared" si="42"/>
        <v>1.69701171875</v>
      </c>
      <c r="M66" s="71">
        <f t="shared" si="42"/>
        <v>1.7845312500000001</v>
      </c>
      <c r="N66" s="71">
        <f t="shared" si="42"/>
        <v>1.8720252403846154</v>
      </c>
      <c r="O66" s="71">
        <f t="shared" si="42"/>
        <v>1.9639423076923077</v>
      </c>
      <c r="P66" s="71">
        <f t="shared" si="42"/>
        <v>2.0551983173076924</v>
      </c>
      <c r="Q66" s="71">
        <f t="shared" si="42"/>
        <v>2.1457932692307695</v>
      </c>
      <c r="R66" s="71">
        <f t="shared" si="42"/>
        <v>2.2357271634615383</v>
      </c>
      <c r="S66" s="71">
        <f t="shared" si="42"/>
        <v>2.325</v>
      </c>
      <c r="T66" s="71">
        <f t="shared" si="42"/>
        <v>2.421875</v>
      </c>
      <c r="U66" s="71">
        <f t="shared" si="42"/>
        <v>2.51875</v>
      </c>
      <c r="V66" s="71">
        <f t="shared" si="42"/>
        <v>2.615625</v>
      </c>
      <c r="W66" s="71">
        <f t="shared" si="42"/>
        <v>2.7125</v>
      </c>
      <c r="X66" s="71">
        <f t="shared" si="42"/>
        <v>2.809375</v>
      </c>
      <c r="Y66" s="72">
        <f t="shared" si="42"/>
        <v>2.90625</v>
      </c>
    </row>
    <row r="67" spans="1:25" s="9" customFormat="1" ht="15" customHeight="1" hidden="1" outlineLevel="1">
      <c r="A67" s="8" t="s">
        <v>3</v>
      </c>
      <c r="B67" s="17">
        <f>E$3</f>
        <v>1940000</v>
      </c>
      <c r="D67" s="120"/>
      <c r="E67" s="120"/>
      <c r="F67" s="70" t="s">
        <v>23</v>
      </c>
      <c r="G67" s="71">
        <f aca="true" t="shared" si="43" ref="G67:Y67">2*(G$38-G66)</f>
        <v>3.555</v>
      </c>
      <c r="H67" s="71">
        <f t="shared" si="43"/>
        <v>3.8512500000000003</v>
      </c>
      <c r="I67" s="71">
        <f t="shared" si="43"/>
        <v>4.1475</v>
      </c>
      <c r="J67" s="71">
        <f t="shared" si="43"/>
        <v>4.4642578125</v>
      </c>
      <c r="K67" s="71">
        <f t="shared" si="43"/>
        <v>4.7837499999999995</v>
      </c>
      <c r="L67" s="71">
        <f t="shared" si="43"/>
        <v>5.1059765625</v>
      </c>
      <c r="M67" s="71">
        <f t="shared" si="43"/>
        <v>5.4309375</v>
      </c>
      <c r="N67" s="71">
        <f t="shared" si="43"/>
        <v>5.75594951923077</v>
      </c>
      <c r="O67" s="71">
        <f t="shared" si="43"/>
        <v>6.072115384615385</v>
      </c>
      <c r="P67" s="71">
        <f t="shared" si="43"/>
        <v>6.389603365384615</v>
      </c>
      <c r="Q67" s="71">
        <f t="shared" si="43"/>
        <v>6.708413461538461</v>
      </c>
      <c r="R67" s="71">
        <f t="shared" si="43"/>
        <v>7.028545673076923</v>
      </c>
      <c r="S67" s="71">
        <f t="shared" si="43"/>
        <v>7.35</v>
      </c>
      <c r="T67" s="71">
        <f t="shared" si="43"/>
        <v>7.65625</v>
      </c>
      <c r="U67" s="71">
        <f t="shared" si="43"/>
        <v>7.9625</v>
      </c>
      <c r="V67" s="71">
        <f t="shared" si="43"/>
        <v>8.26875</v>
      </c>
      <c r="W67" s="71">
        <f t="shared" si="43"/>
        <v>8.575</v>
      </c>
      <c r="X67" s="71">
        <f t="shared" si="43"/>
        <v>8.88125</v>
      </c>
      <c r="Y67" s="72">
        <f t="shared" si="43"/>
        <v>9.1875</v>
      </c>
    </row>
    <row r="68" spans="1:25" s="9" customFormat="1" ht="15" customHeight="1" hidden="1" outlineLevel="1">
      <c r="A68" s="8"/>
      <c r="B68" s="17"/>
      <c r="D68" s="120"/>
      <c r="E68" s="120"/>
      <c r="F68" s="70" t="s">
        <v>24</v>
      </c>
      <c r="G68" s="71">
        <f aca="true" t="shared" si="44" ref="G68:Y68">$C62/G66</f>
        <v>6.97057442959675</v>
      </c>
      <c r="H68" s="71">
        <f t="shared" si="44"/>
        <v>6.434376396550847</v>
      </c>
      <c r="I68" s="71">
        <f t="shared" si="44"/>
        <v>5.9747780825114996</v>
      </c>
      <c r="J68" s="71">
        <f t="shared" si="44"/>
        <v>5.61413105188599</v>
      </c>
      <c r="K68" s="71">
        <f t="shared" si="44"/>
        <v>5.299045310645644</v>
      </c>
      <c r="L68" s="71">
        <f t="shared" si="44"/>
        <v>5.021489920210385</v>
      </c>
      <c r="M68" s="71">
        <f t="shared" si="44"/>
        <v>4.775218836981434</v>
      </c>
      <c r="N68" s="71">
        <f t="shared" si="44"/>
        <v>4.55203650909709</v>
      </c>
      <c r="O68" s="71">
        <f t="shared" si="44"/>
        <v>4.33899061433993</v>
      </c>
      <c r="P68" s="71">
        <f t="shared" si="44"/>
        <v>4.146328443546615</v>
      </c>
      <c r="Q68" s="71">
        <f t="shared" si="44"/>
        <v>3.971271306688761</v>
      </c>
      <c r="R68" s="71">
        <f t="shared" si="44"/>
        <v>3.811523775999702</v>
      </c>
      <c r="S68" s="71">
        <f t="shared" si="44"/>
        <v>3.6651730065299035</v>
      </c>
      <c r="T68" s="71">
        <f t="shared" si="44"/>
        <v>3.5185660862687076</v>
      </c>
      <c r="U68" s="71">
        <f t="shared" si="44"/>
        <v>3.383236621412219</v>
      </c>
      <c r="V68" s="71">
        <f t="shared" si="44"/>
        <v>3.2579315613599142</v>
      </c>
      <c r="W68" s="71">
        <f t="shared" si="44"/>
        <v>3.1415768627399174</v>
      </c>
      <c r="X68" s="71">
        <f t="shared" si="44"/>
        <v>3.0332466260937134</v>
      </c>
      <c r="Y68" s="71">
        <f t="shared" si="44"/>
        <v>2.932138405223923</v>
      </c>
    </row>
    <row r="69" spans="1:25" s="9" customFormat="1" ht="15" customHeight="1" hidden="1" outlineLevel="1">
      <c r="A69" s="8" t="s">
        <v>28</v>
      </c>
      <c r="B69" s="17">
        <f>F$3</f>
        <v>1555000</v>
      </c>
      <c r="D69" s="120"/>
      <c r="E69" s="120"/>
      <c r="F69" s="70" t="s">
        <v>25</v>
      </c>
      <c r="G69" s="71">
        <f aca="true" t="shared" si="45" ref="G69:Y69">$B65*$B$6/G66^2*2/1000000</f>
        <v>10.463249186376993</v>
      </c>
      <c r="H69" s="71">
        <f t="shared" si="45"/>
        <v>8.915431259398149</v>
      </c>
      <c r="I69" s="71">
        <f t="shared" si="45"/>
        <v>7.687285116521871</v>
      </c>
      <c r="J69" s="71">
        <f t="shared" si="45"/>
        <v>6.787260580380117</v>
      </c>
      <c r="K69" s="71">
        <f t="shared" si="45"/>
        <v>6.046787363457381</v>
      </c>
      <c r="L69" s="71">
        <f t="shared" si="45"/>
        <v>5.42993487985716</v>
      </c>
      <c r="M69" s="71">
        <f t="shared" si="45"/>
        <v>4.910390024625236</v>
      </c>
      <c r="N69" s="71">
        <f t="shared" si="45"/>
        <v>4.462116489373559</v>
      </c>
      <c r="O69" s="71">
        <f t="shared" si="45"/>
        <v>4.054215709270442</v>
      </c>
      <c r="P69" s="71">
        <f t="shared" si="45"/>
        <v>3.7021740518725235</v>
      </c>
      <c r="Q69" s="71">
        <f t="shared" si="45"/>
        <v>3.3961631591813823</v>
      </c>
      <c r="R69" s="71">
        <f t="shared" si="45"/>
        <v>3.1284318385287926</v>
      </c>
      <c r="S69" s="71">
        <f t="shared" si="45"/>
        <v>2.892799871309576</v>
      </c>
      <c r="T69" s="71">
        <f t="shared" si="45"/>
        <v>2.6660043613989055</v>
      </c>
      <c r="U69" s="71">
        <f t="shared" si="45"/>
        <v>2.4648708962637813</v>
      </c>
      <c r="V69" s="71">
        <f t="shared" si="45"/>
        <v>2.2856690341211463</v>
      </c>
      <c r="W69" s="71">
        <f t="shared" si="45"/>
        <v>2.125322354431525</v>
      </c>
      <c r="X69" s="71">
        <f t="shared" si="45"/>
        <v>1.9812755361169034</v>
      </c>
      <c r="Y69" s="72">
        <f t="shared" si="45"/>
        <v>1.8513919176381288</v>
      </c>
    </row>
    <row r="70" spans="1:25" s="9" customFormat="1" ht="15" customHeight="1" hidden="1" outlineLevel="1">
      <c r="A70" s="9" t="s">
        <v>29</v>
      </c>
      <c r="B70" s="19">
        <f>0.65*B67+0.35*B69</f>
        <v>1805250</v>
      </c>
      <c r="D70" s="120"/>
      <c r="E70" s="120"/>
      <c r="F70" s="70" t="s">
        <v>26</v>
      </c>
      <c r="G70" s="71">
        <f aca="true" t="shared" si="46" ref="G70:Y70">1.27/(G65*1000000/($B66*$B$6)+0.5*G67/$C64)</f>
        <v>8.139935885550887</v>
      </c>
      <c r="H70" s="71">
        <f t="shared" si="46"/>
        <v>7.131485322903186</v>
      </c>
      <c r="I70" s="71">
        <f t="shared" si="46"/>
        <v>6.301474358478224</v>
      </c>
      <c r="J70" s="71">
        <f t="shared" si="46"/>
        <v>5.489574765065519</v>
      </c>
      <c r="K70" s="71">
        <f t="shared" si="46"/>
        <v>4.8129888598401065</v>
      </c>
      <c r="L70" s="71">
        <f t="shared" si="46"/>
        <v>4.244243470584957</v>
      </c>
      <c r="M70" s="71">
        <f t="shared" si="46"/>
        <v>3.762407611994213</v>
      </c>
      <c r="N70" s="71">
        <f t="shared" si="46"/>
        <v>3.3584950016188855</v>
      </c>
      <c r="O70" s="71">
        <f t="shared" si="46"/>
        <v>3.036842928143774</v>
      </c>
      <c r="P70" s="71">
        <f t="shared" si="46"/>
        <v>2.7567780599626968</v>
      </c>
      <c r="Q70" s="71">
        <f t="shared" si="46"/>
        <v>2.5115635562632797</v>
      </c>
      <c r="R70" s="71">
        <f t="shared" si="46"/>
        <v>2.295765446485742</v>
      </c>
      <c r="S70" s="71">
        <f t="shared" si="46"/>
        <v>2.1049617456468526</v>
      </c>
      <c r="T70" s="71">
        <f t="shared" si="46"/>
        <v>1.954845488184524</v>
      </c>
      <c r="U70" s="71">
        <f t="shared" si="46"/>
        <v>1.8202811123616318</v>
      </c>
      <c r="V70" s="71">
        <f t="shared" si="46"/>
        <v>1.699186376169422</v>
      </c>
      <c r="W70" s="71">
        <f t="shared" si="46"/>
        <v>1.5898171003513595</v>
      </c>
      <c r="X70" s="71">
        <f t="shared" si="46"/>
        <v>1.4907032261592124</v>
      </c>
      <c r="Y70" s="72">
        <f t="shared" si="46"/>
        <v>1.4005985815275181</v>
      </c>
    </row>
    <row r="71" spans="4:25" s="16" customFormat="1" ht="15" customHeight="1" collapsed="1">
      <c r="D71" s="120"/>
      <c r="E71" s="120"/>
      <c r="F71" s="73" t="s">
        <v>39</v>
      </c>
      <c r="G71" s="74">
        <f aca="true" t="shared" si="47" ref="G71:Y71">MIN(G68,G69,G70)</f>
        <v>6.97057442959675</v>
      </c>
      <c r="H71" s="74">
        <f t="shared" si="47"/>
        <v>6.434376396550847</v>
      </c>
      <c r="I71" s="74">
        <f t="shared" si="47"/>
        <v>5.9747780825114996</v>
      </c>
      <c r="J71" s="74">
        <f t="shared" si="47"/>
        <v>5.489574765065519</v>
      </c>
      <c r="K71" s="74">
        <f t="shared" si="47"/>
        <v>4.8129888598401065</v>
      </c>
      <c r="L71" s="74">
        <f t="shared" si="47"/>
        <v>4.244243470584957</v>
      </c>
      <c r="M71" s="74">
        <f t="shared" si="47"/>
        <v>3.762407611994213</v>
      </c>
      <c r="N71" s="74">
        <f t="shared" si="47"/>
        <v>3.3584950016188855</v>
      </c>
      <c r="O71" s="74">
        <f t="shared" si="47"/>
        <v>3.036842928143774</v>
      </c>
      <c r="P71" s="74">
        <f t="shared" si="47"/>
        <v>2.7567780599626968</v>
      </c>
      <c r="Q71" s="74">
        <f t="shared" si="47"/>
        <v>2.5115635562632797</v>
      </c>
      <c r="R71" s="74">
        <f t="shared" si="47"/>
        <v>2.295765446485742</v>
      </c>
      <c r="S71" s="74">
        <f t="shared" si="47"/>
        <v>2.1049617456468526</v>
      </c>
      <c r="T71" s="74">
        <f t="shared" si="47"/>
        <v>1.954845488184524</v>
      </c>
      <c r="U71" s="74">
        <f t="shared" si="47"/>
        <v>1.8202811123616318</v>
      </c>
      <c r="V71" s="74">
        <f t="shared" si="47"/>
        <v>1.699186376169422</v>
      </c>
      <c r="W71" s="74">
        <f t="shared" si="47"/>
        <v>1.5898171003513595</v>
      </c>
      <c r="X71" s="74">
        <f t="shared" si="47"/>
        <v>1.4907032261592124</v>
      </c>
      <c r="Y71" s="75">
        <f t="shared" si="47"/>
        <v>1.4005985815275181</v>
      </c>
    </row>
    <row r="72" spans="4:25" s="8" customFormat="1" ht="15" customHeight="1">
      <c r="D72" s="120"/>
      <c r="E72" s="120"/>
      <c r="F72" s="70" t="s">
        <v>36</v>
      </c>
      <c r="G72" s="71">
        <f aca="true" t="shared" si="48" ref="G72:Y72">192*$B$7*$B70/(G$15*1000)^3/$B$11</f>
        <v>17.972266666666666</v>
      </c>
      <c r="H72" s="71">
        <f t="shared" si="48"/>
        <v>14.135674465179791</v>
      </c>
      <c r="I72" s="71">
        <f t="shared" si="48"/>
        <v>11.31781224489796</v>
      </c>
      <c r="J72" s="71">
        <f t="shared" si="48"/>
        <v>9.201800533333333</v>
      </c>
      <c r="K72" s="71">
        <f t="shared" si="48"/>
        <v>7.582049999999999</v>
      </c>
      <c r="L72" s="71">
        <f t="shared" si="48"/>
        <v>6.321204315082435</v>
      </c>
      <c r="M72" s="71">
        <f t="shared" si="48"/>
        <v>5.325116049382716</v>
      </c>
      <c r="N72" s="71">
        <f t="shared" si="48"/>
        <v>4.527784924916168</v>
      </c>
      <c r="O72" s="71">
        <f t="shared" si="48"/>
        <v>3.8820095999999995</v>
      </c>
      <c r="P72" s="71">
        <f t="shared" si="48"/>
        <v>3.353425850340136</v>
      </c>
      <c r="Q72" s="71">
        <f t="shared" si="48"/>
        <v>2.9166112697220132</v>
      </c>
      <c r="R72" s="71">
        <f t="shared" si="48"/>
        <v>2.5524843264568093</v>
      </c>
      <c r="S72" s="71">
        <f t="shared" si="48"/>
        <v>2.2465333333333333</v>
      </c>
      <c r="T72" s="71">
        <f t="shared" si="48"/>
        <v>1.9875889152</v>
      </c>
      <c r="U72" s="71">
        <f t="shared" si="48"/>
        <v>1.766959308147474</v>
      </c>
      <c r="V72" s="71">
        <f t="shared" si="48"/>
        <v>1.5778121627800639</v>
      </c>
      <c r="W72" s="71">
        <f t="shared" si="48"/>
        <v>1.414726530612245</v>
      </c>
      <c r="X72" s="71">
        <f t="shared" si="48"/>
        <v>1.2733640903686088</v>
      </c>
      <c r="Y72" s="72">
        <f t="shared" si="48"/>
        <v>1.1502250666666667</v>
      </c>
    </row>
    <row r="73" spans="4:25" s="11" customFormat="1" ht="15" customHeight="1">
      <c r="D73" s="121"/>
      <c r="E73" s="121"/>
      <c r="F73" s="76" t="s">
        <v>37</v>
      </c>
      <c r="G73" s="77">
        <f aca="true" t="shared" si="49" ref="G73:Y73">G72*$B$11/$B$12</f>
        <v>8.986133333333333</v>
      </c>
      <c r="H73" s="77">
        <f t="shared" si="49"/>
        <v>7.067837232589896</v>
      </c>
      <c r="I73" s="77">
        <f t="shared" si="49"/>
        <v>5.65890612244898</v>
      </c>
      <c r="J73" s="77">
        <f t="shared" si="49"/>
        <v>4.600900266666667</v>
      </c>
      <c r="K73" s="77">
        <f t="shared" si="49"/>
        <v>3.7910249999999994</v>
      </c>
      <c r="L73" s="77">
        <f t="shared" si="49"/>
        <v>3.1606021575412173</v>
      </c>
      <c r="M73" s="77">
        <f t="shared" si="49"/>
        <v>2.662558024691358</v>
      </c>
      <c r="N73" s="77">
        <f t="shared" si="49"/>
        <v>2.263892462458084</v>
      </c>
      <c r="O73" s="77">
        <f t="shared" si="49"/>
        <v>1.9410047999999998</v>
      </c>
      <c r="P73" s="77">
        <f t="shared" si="49"/>
        <v>1.676712925170068</v>
      </c>
      <c r="Q73" s="77">
        <f t="shared" si="49"/>
        <v>1.4583056348610066</v>
      </c>
      <c r="R73" s="77">
        <f t="shared" si="49"/>
        <v>1.2762421632284047</v>
      </c>
      <c r="S73" s="77">
        <f t="shared" si="49"/>
        <v>1.1232666666666666</v>
      </c>
      <c r="T73" s="77">
        <f t="shared" si="49"/>
        <v>0.9937944576</v>
      </c>
      <c r="U73" s="77">
        <f t="shared" si="49"/>
        <v>0.883479654073737</v>
      </c>
      <c r="V73" s="77">
        <f t="shared" si="49"/>
        <v>0.7889060813900319</v>
      </c>
      <c r="W73" s="77">
        <f t="shared" si="49"/>
        <v>0.7073632653061225</v>
      </c>
      <c r="X73" s="77">
        <f t="shared" si="49"/>
        <v>0.6366820451843044</v>
      </c>
      <c r="Y73" s="78">
        <f t="shared" si="49"/>
        <v>0.5751125333333333</v>
      </c>
    </row>
    <row r="74" spans="2:25" s="9" customFormat="1" ht="15" customHeight="1" hidden="1" outlineLevel="1">
      <c r="B74" s="17"/>
      <c r="C74" s="17"/>
      <c r="D74" s="79"/>
      <c r="E74" s="79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</row>
    <row r="75" spans="2:25" s="9" customFormat="1" ht="15" customHeight="1" hidden="1" outlineLevel="1">
      <c r="B75" s="17"/>
      <c r="C75" s="17"/>
      <c r="D75" s="79"/>
      <c r="E75" s="79"/>
      <c r="F75" s="70" t="s">
        <v>21</v>
      </c>
      <c r="G75" s="71">
        <f aca="true" t="shared" si="50" ref="G75:Y75">IF(G$38&lt;$M$4,IF(G$38&lt;$M$3,$N$3*G$40,($N$3+0.095*(G$38-$M$3)/1.25)*G$40),IF(G$38&gt;6,0.9*G$40,(0.86+0.04*(G$38-$M$4)/1.35)*G$40))</f>
        <v>0.860625</v>
      </c>
      <c r="H75" s="71">
        <f t="shared" si="50"/>
        <v>1.0100390625</v>
      </c>
      <c r="I75" s="71">
        <f t="shared" si="50"/>
        <v>1.1830437500000002</v>
      </c>
      <c r="J75" s="71">
        <f t="shared" si="50"/>
        <v>1.3914843749999999</v>
      </c>
      <c r="K75" s="71">
        <f t="shared" si="50"/>
        <v>1.6212</v>
      </c>
      <c r="L75" s="71">
        <f t="shared" si="50"/>
        <v>1.87308125</v>
      </c>
      <c r="M75" s="71">
        <f t="shared" si="50"/>
        <v>2.14801875</v>
      </c>
      <c r="N75" s="71">
        <f t="shared" si="50"/>
        <v>2.433825231481481</v>
      </c>
      <c r="O75" s="71">
        <f t="shared" si="50"/>
        <v>2.7199074074074074</v>
      </c>
      <c r="P75" s="71">
        <f t="shared" si="50"/>
        <v>3.02421875</v>
      </c>
      <c r="Q75" s="71">
        <f t="shared" si="50"/>
        <v>3.3471064814814815</v>
      </c>
      <c r="R75" s="71">
        <f t="shared" si="50"/>
        <v>3.6889178240740743</v>
      </c>
      <c r="S75" s="71">
        <f t="shared" si="50"/>
        <v>4.05</v>
      </c>
      <c r="T75" s="71">
        <f t="shared" si="50"/>
        <v>4.39453125</v>
      </c>
      <c r="U75" s="71">
        <f t="shared" si="50"/>
        <v>4.753125</v>
      </c>
      <c r="V75" s="71">
        <f t="shared" si="50"/>
        <v>5.12578125</v>
      </c>
      <c r="W75" s="71">
        <f t="shared" si="50"/>
        <v>5.5125</v>
      </c>
      <c r="X75" s="71">
        <f t="shared" si="50"/>
        <v>5.91328125</v>
      </c>
      <c r="Y75" s="72">
        <f t="shared" si="50"/>
        <v>6.328125</v>
      </c>
    </row>
    <row r="76" spans="2:25" s="9" customFormat="1" ht="15" customHeight="1" hidden="1" outlineLevel="1">
      <c r="B76" s="17"/>
      <c r="C76" s="17"/>
      <c r="D76" s="79"/>
      <c r="E76" s="79"/>
      <c r="F76" s="70" t="s">
        <v>22</v>
      </c>
      <c r="G76" s="71">
        <f aca="true" t="shared" si="51" ref="G76:Y76">G$38/2-G75/G$38</f>
        <v>1.213125</v>
      </c>
      <c r="H76" s="71">
        <f t="shared" si="51"/>
        <v>1.31421875</v>
      </c>
      <c r="I76" s="71">
        <f t="shared" si="51"/>
        <v>1.4119875</v>
      </c>
      <c r="J76" s="71">
        <f t="shared" si="51"/>
        <v>1.5039375000000001</v>
      </c>
      <c r="K76" s="71">
        <f t="shared" si="51"/>
        <v>1.5947</v>
      </c>
      <c r="L76" s="71">
        <f t="shared" si="51"/>
        <v>1.684275</v>
      </c>
      <c r="M76" s="71">
        <f t="shared" si="51"/>
        <v>1.7726625</v>
      </c>
      <c r="N76" s="71">
        <f t="shared" si="51"/>
        <v>1.8626157407407407</v>
      </c>
      <c r="O76" s="71">
        <f t="shared" si="51"/>
        <v>1.9560185185185186</v>
      </c>
      <c r="P76" s="71">
        <f t="shared" si="51"/>
        <v>2.048958333333333</v>
      </c>
      <c r="Q76" s="71">
        <f t="shared" si="51"/>
        <v>2.141435185185185</v>
      </c>
      <c r="R76" s="71">
        <f t="shared" si="51"/>
        <v>2.2334490740740742</v>
      </c>
      <c r="S76" s="71">
        <f t="shared" si="51"/>
        <v>2.325</v>
      </c>
      <c r="T76" s="71">
        <f t="shared" si="51"/>
        <v>2.421875</v>
      </c>
      <c r="U76" s="71">
        <f t="shared" si="51"/>
        <v>2.51875</v>
      </c>
      <c r="V76" s="71">
        <f t="shared" si="51"/>
        <v>2.615625</v>
      </c>
      <c r="W76" s="71">
        <f t="shared" si="51"/>
        <v>2.7125</v>
      </c>
      <c r="X76" s="71">
        <f t="shared" si="51"/>
        <v>2.809375</v>
      </c>
      <c r="Y76" s="72">
        <f t="shared" si="51"/>
        <v>2.90625</v>
      </c>
    </row>
    <row r="77" spans="2:25" s="9" customFormat="1" ht="15" customHeight="1" hidden="1" outlineLevel="1">
      <c r="B77" s="17"/>
      <c r="C77" s="17"/>
      <c r="D77" s="79"/>
      <c r="E77" s="79"/>
      <c r="F77" s="70" t="s">
        <v>23</v>
      </c>
      <c r="G77" s="71">
        <f aca="true" t="shared" si="52" ref="G77:Y77">2*(G$38-G76)</f>
        <v>3.57375</v>
      </c>
      <c r="H77" s="71">
        <f t="shared" si="52"/>
        <v>3.8715625</v>
      </c>
      <c r="I77" s="71">
        <f t="shared" si="52"/>
        <v>4.176025</v>
      </c>
      <c r="J77" s="71">
        <f t="shared" si="52"/>
        <v>4.492125</v>
      </c>
      <c r="K77" s="71">
        <f t="shared" si="52"/>
        <v>4.8106</v>
      </c>
      <c r="L77" s="71">
        <f t="shared" si="52"/>
        <v>5.13145</v>
      </c>
      <c r="M77" s="71">
        <f t="shared" si="52"/>
        <v>5.454675</v>
      </c>
      <c r="N77" s="71">
        <f t="shared" si="52"/>
        <v>5.774768518518519</v>
      </c>
      <c r="O77" s="71">
        <f t="shared" si="52"/>
        <v>6.087962962962963</v>
      </c>
      <c r="P77" s="71">
        <f t="shared" si="52"/>
        <v>6.402083333333334</v>
      </c>
      <c r="Q77" s="71">
        <f t="shared" si="52"/>
        <v>6.71712962962963</v>
      </c>
      <c r="R77" s="71">
        <f t="shared" si="52"/>
        <v>7.0331018518518515</v>
      </c>
      <c r="S77" s="71">
        <f t="shared" si="52"/>
        <v>7.35</v>
      </c>
      <c r="T77" s="71">
        <f t="shared" si="52"/>
        <v>7.65625</v>
      </c>
      <c r="U77" s="71">
        <f t="shared" si="52"/>
        <v>7.9625</v>
      </c>
      <c r="V77" s="71">
        <f t="shared" si="52"/>
        <v>8.26875</v>
      </c>
      <c r="W77" s="71">
        <f t="shared" si="52"/>
        <v>8.575</v>
      </c>
      <c r="X77" s="71">
        <f t="shared" si="52"/>
        <v>8.88125</v>
      </c>
      <c r="Y77" s="72">
        <f t="shared" si="52"/>
        <v>9.1875</v>
      </c>
    </row>
    <row r="78" spans="2:25" s="9" customFormat="1" ht="15" customHeight="1" hidden="1" outlineLevel="1">
      <c r="B78" s="17"/>
      <c r="C78" s="17"/>
      <c r="D78" s="79"/>
      <c r="E78" s="79"/>
      <c r="F78" s="70" t="s">
        <v>24</v>
      </c>
      <c r="G78" s="71">
        <f aca="true" t="shared" si="53" ref="G78:Y78">$C79/G76</f>
        <v>9.167675143050174</v>
      </c>
      <c r="H78" s="71">
        <f t="shared" si="53"/>
        <v>8.462469362815545</v>
      </c>
      <c r="I78" s="71">
        <f t="shared" si="53"/>
        <v>7.876511589452982</v>
      </c>
      <c r="J78" s="71">
        <f t="shared" si="53"/>
        <v>7.394945539899591</v>
      </c>
      <c r="K78" s="71">
        <f t="shared" si="53"/>
        <v>6.974061521234553</v>
      </c>
      <c r="L78" s="71">
        <f t="shared" si="53"/>
        <v>6.603159168136285</v>
      </c>
      <c r="M78" s="71">
        <f t="shared" si="53"/>
        <v>6.273916161656684</v>
      </c>
      <c r="N78" s="71">
        <f t="shared" si="53"/>
        <v>5.9709233980218785</v>
      </c>
      <c r="O78" s="71">
        <f t="shared" si="53"/>
        <v>5.685802973039413</v>
      </c>
      <c r="P78" s="71">
        <f t="shared" si="53"/>
        <v>5.427897545295492</v>
      </c>
      <c r="Q78" s="71">
        <f t="shared" si="53"/>
        <v>5.193496391977414</v>
      </c>
      <c r="R78" s="71">
        <f t="shared" si="53"/>
        <v>4.979534137138731</v>
      </c>
      <c r="S78" s="71">
        <f t="shared" si="53"/>
        <v>4.783456304478598</v>
      </c>
      <c r="T78" s="71">
        <f t="shared" si="53"/>
        <v>4.592118052299455</v>
      </c>
      <c r="U78" s="71">
        <f t="shared" si="53"/>
        <v>4.4154981272110145</v>
      </c>
      <c r="V78" s="71">
        <f t="shared" si="53"/>
        <v>4.251961159536532</v>
      </c>
      <c r="W78" s="71">
        <f t="shared" si="53"/>
        <v>4.100105403838799</v>
      </c>
      <c r="X78" s="71">
        <f t="shared" si="53"/>
        <v>3.95872245887884</v>
      </c>
      <c r="Y78" s="71">
        <f t="shared" si="53"/>
        <v>3.826765043582879</v>
      </c>
    </row>
    <row r="79" spans="1:25" s="9" customFormat="1" ht="15" customHeight="1" hidden="1" outlineLevel="1">
      <c r="A79" s="14"/>
      <c r="B79" s="8">
        <v>1</v>
      </c>
      <c r="C79" s="9">
        <f>C30</f>
        <v>11.121535907912742</v>
      </c>
      <c r="D79" s="79"/>
      <c r="E79" s="79"/>
      <c r="F79" s="70" t="s">
        <v>25</v>
      </c>
      <c r="G79" s="71">
        <f aca="true" t="shared" si="54" ref="G79:Y79">$B82*$B$6/G76^2*2/1000000</f>
        <v>15.18769149212293</v>
      </c>
      <c r="H79" s="71">
        <f t="shared" si="54"/>
        <v>12.940991567252675</v>
      </c>
      <c r="I79" s="71">
        <f t="shared" si="54"/>
        <v>11.21091779660408</v>
      </c>
      <c r="J79" s="71">
        <f t="shared" si="54"/>
        <v>9.881964636225504</v>
      </c>
      <c r="K79" s="71">
        <f t="shared" si="54"/>
        <v>8.789109672571168</v>
      </c>
      <c r="L79" s="71">
        <f t="shared" si="54"/>
        <v>7.87910462494047</v>
      </c>
      <c r="M79" s="71">
        <f t="shared" si="54"/>
        <v>7.112966401130536</v>
      </c>
      <c r="N79" s="71">
        <f t="shared" si="54"/>
        <v>6.442528294576558</v>
      </c>
      <c r="O79" s="71">
        <f t="shared" si="54"/>
        <v>5.841938059043725</v>
      </c>
      <c r="P79" s="71">
        <f t="shared" si="54"/>
        <v>5.3239824896652745</v>
      </c>
      <c r="Q79" s="71">
        <f t="shared" si="54"/>
        <v>4.874083936700737</v>
      </c>
      <c r="R79" s="71">
        <f t="shared" si="54"/>
        <v>4.480750515789556</v>
      </c>
      <c r="S79" s="71">
        <f t="shared" si="54"/>
        <v>4.134823327150161</v>
      </c>
      <c r="T79" s="71">
        <f t="shared" si="54"/>
        <v>3.8106531783015885</v>
      </c>
      <c r="U79" s="71">
        <f t="shared" si="54"/>
        <v>3.523163071654576</v>
      </c>
      <c r="V79" s="71">
        <f t="shared" si="54"/>
        <v>3.267020900464325</v>
      </c>
      <c r="W79" s="71">
        <f t="shared" si="54"/>
        <v>3.0378293832123635</v>
      </c>
      <c r="X79" s="71">
        <f t="shared" si="54"/>
        <v>2.831936071865033</v>
      </c>
      <c r="Y79" s="72">
        <f t="shared" si="54"/>
        <v>2.646286929376103</v>
      </c>
    </row>
    <row r="80" spans="2:25" s="9" customFormat="1" ht="15" customHeight="1" hidden="1" outlineLevel="1">
      <c r="B80" s="8"/>
      <c r="C80" s="9">
        <f>J4/$E$9</f>
        <v>48.42192223197519</v>
      </c>
      <c r="D80" s="79"/>
      <c r="E80" s="79"/>
      <c r="F80" s="70" t="s">
        <v>26</v>
      </c>
      <c r="G80" s="71">
        <f aca="true" t="shared" si="55" ref="G80:Y80">1.27/(G75*1000000/($B83*$B$6)+0.5*G77/$C80)</f>
        <v>9.905710907050729</v>
      </c>
      <c r="H80" s="71">
        <f t="shared" si="55"/>
        <v>8.631475695957636</v>
      </c>
      <c r="I80" s="71">
        <f t="shared" si="55"/>
        <v>7.531084054921676</v>
      </c>
      <c r="J80" s="71">
        <f t="shared" si="55"/>
        <v>6.545965773842572</v>
      </c>
      <c r="K80" s="71">
        <f t="shared" si="55"/>
        <v>5.729172792764118</v>
      </c>
      <c r="L80" s="71">
        <f t="shared" si="55"/>
        <v>5.045518769780038</v>
      </c>
      <c r="M80" s="71">
        <f t="shared" si="55"/>
        <v>4.468445566642032</v>
      </c>
      <c r="N80" s="71">
        <f t="shared" si="55"/>
        <v>3.995688212912589</v>
      </c>
      <c r="O80" s="71">
        <f t="shared" si="55"/>
        <v>3.6138262048093988</v>
      </c>
      <c r="P80" s="71">
        <f t="shared" si="55"/>
        <v>3.2820175986233227</v>
      </c>
      <c r="Q80" s="71">
        <f t="shared" si="55"/>
        <v>2.991991065287987</v>
      </c>
      <c r="R80" s="71">
        <f t="shared" si="55"/>
        <v>2.7371093593975107</v>
      </c>
      <c r="S80" s="71">
        <f t="shared" si="55"/>
        <v>2.5119969273486875</v>
      </c>
      <c r="T80" s="71">
        <f t="shared" si="55"/>
        <v>2.3290415439481</v>
      </c>
      <c r="U80" s="71">
        <f t="shared" si="55"/>
        <v>2.1654047239381833</v>
      </c>
      <c r="V80" s="71">
        <f t="shared" si="55"/>
        <v>2.0184549146977857</v>
      </c>
      <c r="W80" s="71">
        <f t="shared" si="55"/>
        <v>1.8859945312408692</v>
      </c>
      <c r="X80" s="71">
        <f t="shared" si="55"/>
        <v>1.7661767058375732</v>
      </c>
      <c r="Y80" s="72">
        <f t="shared" si="55"/>
        <v>1.6574401154481655</v>
      </c>
    </row>
    <row r="81" spans="2:25" s="9" customFormat="1" ht="15" customHeight="1" collapsed="1">
      <c r="B81" s="8"/>
      <c r="C81" s="9">
        <f>I4/$E$9</f>
        <v>40.49619800261676</v>
      </c>
      <c r="D81" s="122">
        <f>B79</f>
        <v>1</v>
      </c>
      <c r="E81" s="119">
        <v>11.78</v>
      </c>
      <c r="F81" s="70" t="s">
        <v>38</v>
      </c>
      <c r="G81" s="71">
        <f aca="true" t="shared" si="56" ref="G81:Y81">MIN(G78,G79,G80)</f>
        <v>9.167675143050174</v>
      </c>
      <c r="H81" s="71">
        <f t="shared" si="56"/>
        <v>8.462469362815545</v>
      </c>
      <c r="I81" s="71">
        <f t="shared" si="56"/>
        <v>7.531084054921676</v>
      </c>
      <c r="J81" s="71">
        <f t="shared" si="56"/>
        <v>6.545965773842572</v>
      </c>
      <c r="K81" s="71">
        <f t="shared" si="56"/>
        <v>5.729172792764118</v>
      </c>
      <c r="L81" s="71">
        <f t="shared" si="56"/>
        <v>5.045518769780038</v>
      </c>
      <c r="M81" s="71">
        <f t="shared" si="56"/>
        <v>4.468445566642032</v>
      </c>
      <c r="N81" s="71">
        <f t="shared" si="56"/>
        <v>3.995688212912589</v>
      </c>
      <c r="O81" s="71">
        <f t="shared" si="56"/>
        <v>3.6138262048093988</v>
      </c>
      <c r="P81" s="71">
        <f t="shared" si="56"/>
        <v>3.2820175986233227</v>
      </c>
      <c r="Q81" s="71">
        <f t="shared" si="56"/>
        <v>2.991991065287987</v>
      </c>
      <c r="R81" s="71">
        <f t="shared" si="56"/>
        <v>2.7371093593975107</v>
      </c>
      <c r="S81" s="71">
        <f t="shared" si="56"/>
        <v>2.5119969273486875</v>
      </c>
      <c r="T81" s="71">
        <f t="shared" si="56"/>
        <v>2.3290415439481</v>
      </c>
      <c r="U81" s="71">
        <f t="shared" si="56"/>
        <v>2.1654047239381833</v>
      </c>
      <c r="V81" s="71">
        <f t="shared" si="56"/>
        <v>2.0184549146977857</v>
      </c>
      <c r="W81" s="71">
        <f t="shared" si="56"/>
        <v>1.8859945312408692</v>
      </c>
      <c r="X81" s="71">
        <f t="shared" si="56"/>
        <v>1.7661767058375732</v>
      </c>
      <c r="Y81" s="72">
        <f t="shared" si="56"/>
        <v>1.6574401154481655</v>
      </c>
    </row>
    <row r="82" spans="1:25" s="9" customFormat="1" ht="15" customHeight="1" hidden="1" outlineLevel="1">
      <c r="A82" s="15" t="s">
        <v>1</v>
      </c>
      <c r="B82" s="8">
        <f>C$4</f>
        <v>36720</v>
      </c>
      <c r="D82" s="120"/>
      <c r="E82" s="120"/>
      <c r="F82" s="70" t="s">
        <v>27</v>
      </c>
      <c r="G82" s="71">
        <f aca="true" t="shared" si="57" ref="G82:Y82">IF(G$38&lt;$P$4,IF(G$38&lt;$P$3,$Q$3*G$40,($Q$3+($Q$4-$Q$3)*(G$38-$P$3)/($P$4-$P$3))*G$40),IF(G$38&gt;6,0.9*G$40,($Q$4+(0.9-$Q$4)*(G$38-$P$4)/($P$5-$P$4))*G$40))</f>
        <v>0.8325</v>
      </c>
      <c r="H82" s="71">
        <f t="shared" si="57"/>
        <v>0.97703125</v>
      </c>
      <c r="I82" s="71">
        <f t="shared" si="57"/>
        <v>1.133125</v>
      </c>
      <c r="J82" s="71">
        <f t="shared" si="57"/>
        <v>1.3392333984375</v>
      </c>
      <c r="K82" s="71">
        <f t="shared" si="57"/>
        <v>1.5675</v>
      </c>
      <c r="L82" s="71">
        <f t="shared" si="57"/>
        <v>1.8189501953124998</v>
      </c>
      <c r="M82" s="71">
        <f t="shared" si="57"/>
        <v>2.0946093749999997</v>
      </c>
      <c r="N82" s="71">
        <f t="shared" si="57"/>
        <v>2.389130108173077</v>
      </c>
      <c r="O82" s="71">
        <f t="shared" si="57"/>
        <v>2.6802884615384612</v>
      </c>
      <c r="P82" s="71">
        <f t="shared" si="57"/>
        <v>2.9914588341346153</v>
      </c>
      <c r="Q82" s="71">
        <f t="shared" si="57"/>
        <v>3.323137019230769</v>
      </c>
      <c r="R82" s="71">
        <f t="shared" si="57"/>
        <v>3.675818810096154</v>
      </c>
      <c r="S82" s="71">
        <f t="shared" si="57"/>
        <v>4.05</v>
      </c>
      <c r="T82" s="71">
        <f t="shared" si="57"/>
        <v>4.39453125</v>
      </c>
      <c r="U82" s="71">
        <f t="shared" si="57"/>
        <v>4.753125</v>
      </c>
      <c r="V82" s="71">
        <f t="shared" si="57"/>
        <v>5.12578125</v>
      </c>
      <c r="W82" s="71">
        <f t="shared" si="57"/>
        <v>5.5125</v>
      </c>
      <c r="X82" s="71">
        <f t="shared" si="57"/>
        <v>5.91328125</v>
      </c>
      <c r="Y82" s="72">
        <f t="shared" si="57"/>
        <v>6.328125</v>
      </c>
    </row>
    <row r="83" spans="1:25" s="9" customFormat="1" ht="15" customHeight="1" hidden="1" outlineLevel="1">
      <c r="A83" s="15" t="s">
        <v>2</v>
      </c>
      <c r="B83" s="9">
        <f>D$4</f>
        <v>30970</v>
      </c>
      <c r="D83" s="120"/>
      <c r="E83" s="120"/>
      <c r="F83" s="70" t="s">
        <v>22</v>
      </c>
      <c r="G83" s="71">
        <f aca="true" t="shared" si="58" ref="G83:Y83">G$38/2-G82/G$38</f>
        <v>1.2225</v>
      </c>
      <c r="H83" s="71">
        <f t="shared" si="58"/>
        <v>1.3243749999999999</v>
      </c>
      <c r="I83" s="71">
        <f t="shared" si="58"/>
        <v>1.42625</v>
      </c>
      <c r="J83" s="71">
        <f t="shared" si="58"/>
        <v>1.51787109375</v>
      </c>
      <c r="K83" s="71">
        <f t="shared" si="58"/>
        <v>1.608125</v>
      </c>
      <c r="L83" s="71">
        <f t="shared" si="58"/>
        <v>1.69701171875</v>
      </c>
      <c r="M83" s="71">
        <f t="shared" si="58"/>
        <v>1.7845312500000001</v>
      </c>
      <c r="N83" s="71">
        <f t="shared" si="58"/>
        <v>1.8720252403846154</v>
      </c>
      <c r="O83" s="71">
        <f t="shared" si="58"/>
        <v>1.9639423076923077</v>
      </c>
      <c r="P83" s="71">
        <f t="shared" si="58"/>
        <v>2.0551983173076924</v>
      </c>
      <c r="Q83" s="71">
        <f t="shared" si="58"/>
        <v>2.1457932692307695</v>
      </c>
      <c r="R83" s="71">
        <f t="shared" si="58"/>
        <v>2.2357271634615383</v>
      </c>
      <c r="S83" s="71">
        <f t="shared" si="58"/>
        <v>2.325</v>
      </c>
      <c r="T83" s="71">
        <f t="shared" si="58"/>
        <v>2.421875</v>
      </c>
      <c r="U83" s="71">
        <f t="shared" si="58"/>
        <v>2.51875</v>
      </c>
      <c r="V83" s="71">
        <f t="shared" si="58"/>
        <v>2.615625</v>
      </c>
      <c r="W83" s="71">
        <f t="shared" si="58"/>
        <v>2.7125</v>
      </c>
      <c r="X83" s="71">
        <f t="shared" si="58"/>
        <v>2.809375</v>
      </c>
      <c r="Y83" s="72">
        <f t="shared" si="58"/>
        <v>2.90625</v>
      </c>
    </row>
    <row r="84" spans="1:25" s="9" customFormat="1" ht="15" customHeight="1" hidden="1" outlineLevel="1">
      <c r="A84" s="8" t="s">
        <v>3</v>
      </c>
      <c r="B84" s="17">
        <f>E$4</f>
        <v>2414000</v>
      </c>
      <c r="D84" s="120"/>
      <c r="E84" s="120"/>
      <c r="F84" s="70" t="s">
        <v>23</v>
      </c>
      <c r="G84" s="71">
        <f aca="true" t="shared" si="59" ref="G84:Y84">2*(G$38-G83)</f>
        <v>3.555</v>
      </c>
      <c r="H84" s="71">
        <f t="shared" si="59"/>
        <v>3.8512500000000003</v>
      </c>
      <c r="I84" s="71">
        <f t="shared" si="59"/>
        <v>4.1475</v>
      </c>
      <c r="J84" s="71">
        <f t="shared" si="59"/>
        <v>4.4642578125</v>
      </c>
      <c r="K84" s="71">
        <f t="shared" si="59"/>
        <v>4.7837499999999995</v>
      </c>
      <c r="L84" s="71">
        <f t="shared" si="59"/>
        <v>5.1059765625</v>
      </c>
      <c r="M84" s="71">
        <f t="shared" si="59"/>
        <v>5.4309375</v>
      </c>
      <c r="N84" s="71">
        <f t="shared" si="59"/>
        <v>5.75594951923077</v>
      </c>
      <c r="O84" s="71">
        <f t="shared" si="59"/>
        <v>6.072115384615385</v>
      </c>
      <c r="P84" s="71">
        <f t="shared" si="59"/>
        <v>6.389603365384615</v>
      </c>
      <c r="Q84" s="71">
        <f t="shared" si="59"/>
        <v>6.708413461538461</v>
      </c>
      <c r="R84" s="71">
        <f t="shared" si="59"/>
        <v>7.028545673076923</v>
      </c>
      <c r="S84" s="71">
        <f t="shared" si="59"/>
        <v>7.35</v>
      </c>
      <c r="T84" s="71">
        <f t="shared" si="59"/>
        <v>7.65625</v>
      </c>
      <c r="U84" s="71">
        <f t="shared" si="59"/>
        <v>7.9625</v>
      </c>
      <c r="V84" s="71">
        <f t="shared" si="59"/>
        <v>8.26875</v>
      </c>
      <c r="W84" s="71">
        <f t="shared" si="59"/>
        <v>8.575</v>
      </c>
      <c r="X84" s="71">
        <f t="shared" si="59"/>
        <v>8.88125</v>
      </c>
      <c r="Y84" s="72">
        <f t="shared" si="59"/>
        <v>9.1875</v>
      </c>
    </row>
    <row r="85" spans="1:25" s="9" customFormat="1" ht="15" customHeight="1" hidden="1" outlineLevel="1">
      <c r="A85" s="8"/>
      <c r="B85" s="17"/>
      <c r="D85" s="120"/>
      <c r="E85" s="120"/>
      <c r="F85" s="70" t="s">
        <v>24</v>
      </c>
      <c r="G85" s="71">
        <f aca="true" t="shared" si="60" ref="G85:Y85">$C79/G83</f>
        <v>9.097370885818194</v>
      </c>
      <c r="H85" s="71">
        <f t="shared" si="60"/>
        <v>8.397573125370641</v>
      </c>
      <c r="I85" s="71">
        <f t="shared" si="60"/>
        <v>7.797746473558452</v>
      </c>
      <c r="J85" s="71">
        <f t="shared" si="60"/>
        <v>7.327062195009103</v>
      </c>
      <c r="K85" s="71">
        <f t="shared" si="60"/>
        <v>6.915840440210022</v>
      </c>
      <c r="L85" s="71">
        <f t="shared" si="60"/>
        <v>6.553599945735638</v>
      </c>
      <c r="M85" s="71">
        <f t="shared" si="60"/>
        <v>6.2321889335996445</v>
      </c>
      <c r="N85" s="71">
        <f t="shared" si="60"/>
        <v>5.940911301830405</v>
      </c>
      <c r="O85" s="71">
        <f t="shared" si="60"/>
        <v>5.662862836831947</v>
      </c>
      <c r="P85" s="71">
        <f t="shared" si="60"/>
        <v>5.411417386951709</v>
      </c>
      <c r="Q85" s="71">
        <f t="shared" si="60"/>
        <v>5.182948454256091</v>
      </c>
      <c r="R85" s="71">
        <f t="shared" si="60"/>
        <v>4.974460251533312</v>
      </c>
      <c r="S85" s="71">
        <f t="shared" si="60"/>
        <v>4.783456304478598</v>
      </c>
      <c r="T85" s="71">
        <f t="shared" si="60"/>
        <v>4.592118052299455</v>
      </c>
      <c r="U85" s="71">
        <f t="shared" si="60"/>
        <v>4.4154981272110145</v>
      </c>
      <c r="V85" s="71">
        <f t="shared" si="60"/>
        <v>4.251961159536532</v>
      </c>
      <c r="W85" s="71">
        <f t="shared" si="60"/>
        <v>4.100105403838799</v>
      </c>
      <c r="X85" s="71">
        <f t="shared" si="60"/>
        <v>3.95872245887884</v>
      </c>
      <c r="Y85" s="71">
        <f t="shared" si="60"/>
        <v>3.826765043582879</v>
      </c>
    </row>
    <row r="86" spans="1:25" s="9" customFormat="1" ht="15" customHeight="1" hidden="1" outlineLevel="1">
      <c r="A86" s="8" t="s">
        <v>28</v>
      </c>
      <c r="B86" s="17">
        <f>F$4</f>
        <v>1880000</v>
      </c>
      <c r="D86" s="120"/>
      <c r="E86" s="120"/>
      <c r="F86" s="70" t="s">
        <v>25</v>
      </c>
      <c r="G86" s="71">
        <f aca="true" t="shared" si="61" ref="G86:Y86">$B82*$B$6/G83^2*2/1000000</f>
        <v>14.95564461361476</v>
      </c>
      <c r="H86" s="71">
        <f t="shared" si="61"/>
        <v>12.74327115006228</v>
      </c>
      <c r="I86" s="71">
        <f t="shared" si="61"/>
        <v>10.987820532451659</v>
      </c>
      <c r="J86" s="71">
        <f t="shared" si="61"/>
        <v>9.701370514268506</v>
      </c>
      <c r="K86" s="71">
        <f t="shared" si="61"/>
        <v>8.642975164895097</v>
      </c>
      <c r="L86" s="71">
        <f t="shared" si="61"/>
        <v>7.761277103478198</v>
      </c>
      <c r="M86" s="71">
        <f t="shared" si="61"/>
        <v>7.018665694987879</v>
      </c>
      <c r="N86" s="71">
        <f t="shared" si="61"/>
        <v>6.377925943549906</v>
      </c>
      <c r="O86" s="71">
        <f t="shared" si="61"/>
        <v>5.794892987326221</v>
      </c>
      <c r="P86" s="71">
        <f t="shared" si="61"/>
        <v>5.291702264879683</v>
      </c>
      <c r="Q86" s="71">
        <f t="shared" si="61"/>
        <v>4.854305613279111</v>
      </c>
      <c r="R86" s="71">
        <f t="shared" si="61"/>
        <v>4.471623865736755</v>
      </c>
      <c r="S86" s="71">
        <f t="shared" si="61"/>
        <v>4.134823327150161</v>
      </c>
      <c r="T86" s="71">
        <f t="shared" si="61"/>
        <v>3.8106531783015885</v>
      </c>
      <c r="U86" s="71">
        <f t="shared" si="61"/>
        <v>3.523163071654576</v>
      </c>
      <c r="V86" s="71">
        <f t="shared" si="61"/>
        <v>3.267020900464325</v>
      </c>
      <c r="W86" s="71">
        <f t="shared" si="61"/>
        <v>3.0378293832123635</v>
      </c>
      <c r="X86" s="71">
        <f t="shared" si="61"/>
        <v>2.831936071865033</v>
      </c>
      <c r="Y86" s="72">
        <f t="shared" si="61"/>
        <v>2.646286929376103</v>
      </c>
    </row>
    <row r="87" spans="1:25" s="9" customFormat="1" ht="15" customHeight="1" hidden="1" outlineLevel="1">
      <c r="A87" s="9" t="s">
        <v>29</v>
      </c>
      <c r="B87" s="19">
        <f>0.65*B84+0.35*B86</f>
        <v>2227100</v>
      </c>
      <c r="D87" s="120"/>
      <c r="E87" s="120"/>
      <c r="F87" s="70" t="s">
        <v>26</v>
      </c>
      <c r="G87" s="71">
        <f aca="true" t="shared" si="62" ref="G87:Y87">1.27/(G82*1000000/($B83*$B$6)+0.5*G84/$C81)</f>
        <v>9.605507823435874</v>
      </c>
      <c r="H87" s="71">
        <f t="shared" si="62"/>
        <v>8.399060908843989</v>
      </c>
      <c r="I87" s="71">
        <f t="shared" si="62"/>
        <v>7.408459300463841</v>
      </c>
      <c r="J87" s="71">
        <f t="shared" si="62"/>
        <v>6.4400523461674215</v>
      </c>
      <c r="K87" s="71">
        <f t="shared" si="62"/>
        <v>5.635285811782592</v>
      </c>
      <c r="L87" s="71">
        <f t="shared" si="62"/>
        <v>4.960523302428109</v>
      </c>
      <c r="M87" s="71">
        <f t="shared" si="62"/>
        <v>4.390221553183092</v>
      </c>
      <c r="N87" s="71">
        <f t="shared" si="62"/>
        <v>3.9132449833899967</v>
      </c>
      <c r="O87" s="71">
        <f t="shared" si="62"/>
        <v>3.534331140017791</v>
      </c>
      <c r="P87" s="71">
        <f t="shared" si="62"/>
        <v>3.204921144565033</v>
      </c>
      <c r="Q87" s="71">
        <f t="shared" si="62"/>
        <v>2.9169198234681284</v>
      </c>
      <c r="R87" s="71">
        <f t="shared" si="62"/>
        <v>2.6638105522319795</v>
      </c>
      <c r="S87" s="71">
        <f t="shared" si="62"/>
        <v>2.4403003075303706</v>
      </c>
      <c r="T87" s="71">
        <f t="shared" si="62"/>
        <v>2.2647775294078327</v>
      </c>
      <c r="U87" s="71">
        <f t="shared" si="62"/>
        <v>2.1075789646513283</v>
      </c>
      <c r="V87" s="71">
        <f t="shared" si="62"/>
        <v>1.966234163370687</v>
      </c>
      <c r="W87" s="71">
        <f t="shared" si="62"/>
        <v>1.8386762684331281</v>
      </c>
      <c r="X87" s="71">
        <f t="shared" si="62"/>
        <v>1.7231652503338606</v>
      </c>
      <c r="Y87" s="72">
        <f t="shared" si="62"/>
        <v>1.618227682612982</v>
      </c>
    </row>
    <row r="88" spans="4:25" s="16" customFormat="1" ht="15" customHeight="1" collapsed="1">
      <c r="D88" s="120"/>
      <c r="E88" s="120"/>
      <c r="F88" s="73" t="s">
        <v>39</v>
      </c>
      <c r="G88" s="74">
        <f aca="true" t="shared" si="63" ref="G88:Y88">MIN(G85,G86,G87)</f>
        <v>9.097370885818194</v>
      </c>
      <c r="H88" s="74">
        <f t="shared" si="63"/>
        <v>8.397573125370641</v>
      </c>
      <c r="I88" s="74">
        <f t="shared" si="63"/>
        <v>7.408459300463841</v>
      </c>
      <c r="J88" s="74">
        <f t="shared" si="63"/>
        <v>6.4400523461674215</v>
      </c>
      <c r="K88" s="74">
        <f t="shared" si="63"/>
        <v>5.635285811782592</v>
      </c>
      <c r="L88" s="74">
        <f t="shared" si="63"/>
        <v>4.960523302428109</v>
      </c>
      <c r="M88" s="74">
        <f t="shared" si="63"/>
        <v>4.390221553183092</v>
      </c>
      <c r="N88" s="74">
        <f t="shared" si="63"/>
        <v>3.9132449833899967</v>
      </c>
      <c r="O88" s="74">
        <f t="shared" si="63"/>
        <v>3.534331140017791</v>
      </c>
      <c r="P88" s="74">
        <f t="shared" si="63"/>
        <v>3.204921144565033</v>
      </c>
      <c r="Q88" s="74">
        <f t="shared" si="63"/>
        <v>2.9169198234681284</v>
      </c>
      <c r="R88" s="74">
        <f t="shared" si="63"/>
        <v>2.6638105522319795</v>
      </c>
      <c r="S88" s="74">
        <f t="shared" si="63"/>
        <v>2.4403003075303706</v>
      </c>
      <c r="T88" s="74">
        <f t="shared" si="63"/>
        <v>2.2647775294078327</v>
      </c>
      <c r="U88" s="74">
        <f t="shared" si="63"/>
        <v>2.1075789646513283</v>
      </c>
      <c r="V88" s="74">
        <f t="shared" si="63"/>
        <v>1.966234163370687</v>
      </c>
      <c r="W88" s="74">
        <f t="shared" si="63"/>
        <v>1.8386762684331281</v>
      </c>
      <c r="X88" s="74">
        <f t="shared" si="63"/>
        <v>1.7231652503338606</v>
      </c>
      <c r="Y88" s="75">
        <f t="shared" si="63"/>
        <v>1.618227682612982</v>
      </c>
    </row>
    <row r="89" spans="4:25" s="8" customFormat="1" ht="15" customHeight="1">
      <c r="D89" s="120"/>
      <c r="E89" s="120"/>
      <c r="F89" s="70" t="s">
        <v>36</v>
      </c>
      <c r="G89" s="71">
        <f aca="true" t="shared" si="64" ref="G89:Y89">192*$B$7*$B87/(G$15*1000)^3/$B$11</f>
        <v>22.172017777777775</v>
      </c>
      <c r="H89" s="71">
        <f t="shared" si="64"/>
        <v>17.43889245334547</v>
      </c>
      <c r="I89" s="71">
        <f t="shared" si="64"/>
        <v>13.962553469387755</v>
      </c>
      <c r="J89" s="71">
        <f t="shared" si="64"/>
        <v>11.352073102222223</v>
      </c>
      <c r="K89" s="71">
        <f t="shared" si="64"/>
        <v>9.35382</v>
      </c>
      <c r="L89" s="71">
        <f t="shared" si="64"/>
        <v>7.798340468145736</v>
      </c>
      <c r="M89" s="71">
        <f t="shared" si="64"/>
        <v>6.569486748971193</v>
      </c>
      <c r="N89" s="71">
        <f t="shared" si="64"/>
        <v>5.585835649511591</v>
      </c>
      <c r="O89" s="71">
        <f t="shared" si="64"/>
        <v>4.78915584</v>
      </c>
      <c r="P89" s="71">
        <f t="shared" si="64"/>
        <v>4.137052879818594</v>
      </c>
      <c r="Q89" s="71">
        <f t="shared" si="64"/>
        <v>3.5981636664162284</v>
      </c>
      <c r="R89" s="71">
        <f t="shared" si="64"/>
        <v>3.1489477044464538</v>
      </c>
      <c r="S89" s="71">
        <f t="shared" si="64"/>
        <v>2.771502222222222</v>
      </c>
      <c r="T89" s="71">
        <f t="shared" si="64"/>
        <v>2.45204779008</v>
      </c>
      <c r="U89" s="71">
        <f t="shared" si="64"/>
        <v>2.179861556668184</v>
      </c>
      <c r="V89" s="71">
        <f t="shared" si="64"/>
        <v>1.946514592287761</v>
      </c>
      <c r="W89" s="71">
        <f t="shared" si="64"/>
        <v>1.7453191836734694</v>
      </c>
      <c r="X89" s="71">
        <f t="shared" si="64"/>
        <v>1.5709232326048628</v>
      </c>
      <c r="Y89" s="72">
        <f t="shared" si="64"/>
        <v>1.4190091377777778</v>
      </c>
    </row>
    <row r="90" spans="4:25" s="11" customFormat="1" ht="15" customHeight="1">
      <c r="D90" s="121"/>
      <c r="E90" s="121"/>
      <c r="F90" s="76" t="s">
        <v>37</v>
      </c>
      <c r="G90" s="77">
        <f aca="true" t="shared" si="65" ref="G90:Y90">G89*$B$11/$B$12</f>
        <v>11.086008888888887</v>
      </c>
      <c r="H90" s="77">
        <f t="shared" si="65"/>
        <v>8.719446226672735</v>
      </c>
      <c r="I90" s="77">
        <f t="shared" si="65"/>
        <v>6.9812767346938776</v>
      </c>
      <c r="J90" s="77">
        <f t="shared" si="65"/>
        <v>5.676036551111111</v>
      </c>
      <c r="K90" s="77">
        <f t="shared" si="65"/>
        <v>4.67691</v>
      </c>
      <c r="L90" s="77">
        <f t="shared" si="65"/>
        <v>3.899170234072868</v>
      </c>
      <c r="M90" s="77">
        <f t="shared" si="65"/>
        <v>3.2847433744855965</v>
      </c>
      <c r="N90" s="77">
        <f t="shared" si="65"/>
        <v>2.7929178247557953</v>
      </c>
      <c r="O90" s="77">
        <f t="shared" si="65"/>
        <v>2.39457792</v>
      </c>
      <c r="P90" s="77">
        <f t="shared" si="65"/>
        <v>2.068526439909297</v>
      </c>
      <c r="Q90" s="77">
        <f t="shared" si="65"/>
        <v>1.7990818332081142</v>
      </c>
      <c r="R90" s="77">
        <f t="shared" si="65"/>
        <v>1.5744738522232269</v>
      </c>
      <c r="S90" s="77">
        <f t="shared" si="65"/>
        <v>1.385751111111111</v>
      </c>
      <c r="T90" s="77">
        <f t="shared" si="65"/>
        <v>1.22602389504</v>
      </c>
      <c r="U90" s="77">
        <f t="shared" si="65"/>
        <v>1.089930778334092</v>
      </c>
      <c r="V90" s="77">
        <f t="shared" si="65"/>
        <v>0.9732572961438805</v>
      </c>
      <c r="W90" s="77">
        <f t="shared" si="65"/>
        <v>0.8726595918367347</v>
      </c>
      <c r="X90" s="77">
        <f t="shared" si="65"/>
        <v>0.7854616163024314</v>
      </c>
      <c r="Y90" s="78">
        <f t="shared" si="65"/>
        <v>0.7095045688888889</v>
      </c>
    </row>
    <row r="91" spans="1:25" s="8" customFormat="1" ht="15.75">
      <c r="A91" s="18"/>
      <c r="D91" s="51"/>
      <c r="E91" s="51"/>
      <c r="F91" s="51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</row>
    <row r="92" spans="1:25" s="8" customFormat="1" ht="15.75" hidden="1" outlineLevel="1">
      <c r="A92" s="18"/>
      <c r="D92" s="51"/>
      <c r="E92" s="51"/>
      <c r="F92" s="51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</row>
    <row r="93" spans="1:25" s="8" customFormat="1" ht="15.75" collapsed="1">
      <c r="A93" s="10"/>
      <c r="D93" s="51"/>
      <c r="E93" s="51"/>
      <c r="F93" s="51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</row>
    <row r="94" spans="1:25" s="8" customFormat="1" ht="15.75">
      <c r="A94" s="10"/>
      <c r="D94" s="51"/>
      <c r="E94" s="51"/>
      <c r="F94" s="51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</row>
    <row r="95" spans="1:25" s="13" customFormat="1" ht="18" customHeight="1" thickBot="1">
      <c r="A95" s="12"/>
      <c r="B95" s="12" t="s">
        <v>13</v>
      </c>
      <c r="C95" s="12" t="s">
        <v>14</v>
      </c>
      <c r="D95" s="65" t="s">
        <v>15</v>
      </c>
      <c r="E95" s="65" t="s">
        <v>34</v>
      </c>
      <c r="F95" s="83" t="s">
        <v>16</v>
      </c>
      <c r="G95" s="84">
        <f aca="true" t="shared" si="66" ref="G95:Y95">G15</f>
        <v>3</v>
      </c>
      <c r="H95" s="84">
        <f t="shared" si="66"/>
        <v>3.25</v>
      </c>
      <c r="I95" s="84">
        <f t="shared" si="66"/>
        <v>3.5</v>
      </c>
      <c r="J95" s="84">
        <f t="shared" si="66"/>
        <v>3.75</v>
      </c>
      <c r="K95" s="84">
        <f t="shared" si="66"/>
        <v>4</v>
      </c>
      <c r="L95" s="84">
        <f t="shared" si="66"/>
        <v>4.25</v>
      </c>
      <c r="M95" s="84">
        <f t="shared" si="66"/>
        <v>4.5</v>
      </c>
      <c r="N95" s="84">
        <f t="shared" si="66"/>
        <v>4.75</v>
      </c>
      <c r="O95" s="84">
        <f t="shared" si="66"/>
        <v>5</v>
      </c>
      <c r="P95" s="84">
        <f t="shared" si="66"/>
        <v>5.25</v>
      </c>
      <c r="Q95" s="84">
        <f t="shared" si="66"/>
        <v>5.5</v>
      </c>
      <c r="R95" s="84">
        <f t="shared" si="66"/>
        <v>5.75</v>
      </c>
      <c r="S95" s="84">
        <f t="shared" si="66"/>
        <v>6</v>
      </c>
      <c r="T95" s="84">
        <f t="shared" si="66"/>
        <v>6.25</v>
      </c>
      <c r="U95" s="84">
        <f t="shared" si="66"/>
        <v>6.5</v>
      </c>
      <c r="V95" s="84">
        <f t="shared" si="66"/>
        <v>6.75</v>
      </c>
      <c r="W95" s="84">
        <f t="shared" si="66"/>
        <v>7</v>
      </c>
      <c r="X95" s="84">
        <f t="shared" si="66"/>
        <v>7.25</v>
      </c>
      <c r="Y95" s="68">
        <f t="shared" si="66"/>
        <v>7.5</v>
      </c>
    </row>
    <row r="96" spans="1:25" s="9" customFormat="1" ht="15" customHeight="1" hidden="1" outlineLevel="1">
      <c r="A96" s="14"/>
      <c r="B96" s="8"/>
      <c r="D96" s="69"/>
      <c r="E96" s="69"/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2"/>
    </row>
    <row r="97" spans="1:25" s="9" customFormat="1" ht="15" customHeight="1" hidden="1" outlineLevel="1">
      <c r="A97" s="14"/>
      <c r="B97" s="8"/>
      <c r="D97" s="69"/>
      <c r="E97" s="69"/>
      <c r="F97" s="70" t="s">
        <v>20</v>
      </c>
      <c r="G97" s="71">
        <f aca="true" t="shared" si="67" ref="G97:Y97">G$38^2/10</f>
        <v>0.9</v>
      </c>
      <c r="H97" s="71">
        <f t="shared" si="67"/>
        <v>1.05625</v>
      </c>
      <c r="I97" s="71">
        <f t="shared" si="67"/>
        <v>1.225</v>
      </c>
      <c r="J97" s="71">
        <f t="shared" si="67"/>
        <v>1.40625</v>
      </c>
      <c r="K97" s="71">
        <f t="shared" si="67"/>
        <v>1.6</v>
      </c>
      <c r="L97" s="71">
        <f t="shared" si="67"/>
        <v>1.80625</v>
      </c>
      <c r="M97" s="71">
        <f t="shared" si="67"/>
        <v>2.025</v>
      </c>
      <c r="N97" s="71">
        <f t="shared" si="67"/>
        <v>2.25625</v>
      </c>
      <c r="O97" s="71">
        <f t="shared" si="67"/>
        <v>2.5</v>
      </c>
      <c r="P97" s="71">
        <f t="shared" si="67"/>
        <v>2.75625</v>
      </c>
      <c r="Q97" s="71">
        <f t="shared" si="67"/>
        <v>3.025</v>
      </c>
      <c r="R97" s="71">
        <f t="shared" si="67"/>
        <v>3.30625</v>
      </c>
      <c r="S97" s="71">
        <f t="shared" si="67"/>
        <v>3.6</v>
      </c>
      <c r="T97" s="71">
        <f t="shared" si="67"/>
        <v>3.90625</v>
      </c>
      <c r="U97" s="71">
        <f t="shared" si="67"/>
        <v>4.225</v>
      </c>
      <c r="V97" s="71">
        <f t="shared" si="67"/>
        <v>4.55625</v>
      </c>
      <c r="W97" s="71">
        <f t="shared" si="67"/>
        <v>4.9</v>
      </c>
      <c r="X97" s="71">
        <f t="shared" si="67"/>
        <v>5.25625</v>
      </c>
      <c r="Y97" s="72">
        <f t="shared" si="67"/>
        <v>5.625</v>
      </c>
    </row>
    <row r="98" spans="1:25" s="9" customFormat="1" ht="15" customHeight="1" hidden="1" outlineLevel="1">
      <c r="A98" s="14"/>
      <c r="B98" s="8"/>
      <c r="D98" s="69"/>
      <c r="E98" s="69"/>
      <c r="F98" s="70" t="s">
        <v>21</v>
      </c>
      <c r="G98" s="71">
        <f aca="true" t="shared" si="68" ref="G98:Y98">IF(G$38&lt;$M$4,IF(G$38&lt;$M$3,$N$3*G$97,($N$3+0.095*(G$38-$M$3)/1.25)*G$97),IF(G$38&gt;6,0.9*G$97,(0.86+0.04*(G$38-$M$4)/1.35)*G$97))</f>
        <v>0.6885</v>
      </c>
      <c r="H98" s="71">
        <f t="shared" si="68"/>
        <v>0.80803125</v>
      </c>
      <c r="I98" s="71">
        <f t="shared" si="68"/>
        <v>0.9464350000000001</v>
      </c>
      <c r="J98" s="71">
        <f t="shared" si="68"/>
        <v>1.1131875</v>
      </c>
      <c r="K98" s="71">
        <f t="shared" si="68"/>
        <v>1.2969600000000001</v>
      </c>
      <c r="L98" s="71">
        <f t="shared" si="68"/>
        <v>1.498465</v>
      </c>
      <c r="M98" s="71">
        <f t="shared" si="68"/>
        <v>1.718415</v>
      </c>
      <c r="N98" s="71">
        <f t="shared" si="68"/>
        <v>1.9470601851851852</v>
      </c>
      <c r="O98" s="71">
        <f t="shared" si="68"/>
        <v>2.175925925925926</v>
      </c>
      <c r="P98" s="71">
        <f t="shared" si="68"/>
        <v>2.419375</v>
      </c>
      <c r="Q98" s="71">
        <f t="shared" si="68"/>
        <v>2.6776851851851853</v>
      </c>
      <c r="R98" s="71">
        <f t="shared" si="68"/>
        <v>2.951134259259259</v>
      </c>
      <c r="S98" s="71">
        <f t="shared" si="68"/>
        <v>3.24</v>
      </c>
      <c r="T98" s="71">
        <f t="shared" si="68"/>
        <v>3.515625</v>
      </c>
      <c r="U98" s="71">
        <f t="shared" si="68"/>
        <v>3.8024999999999998</v>
      </c>
      <c r="V98" s="71">
        <f t="shared" si="68"/>
        <v>4.100625000000001</v>
      </c>
      <c r="W98" s="71">
        <f t="shared" si="68"/>
        <v>4.41</v>
      </c>
      <c r="X98" s="71">
        <f t="shared" si="68"/>
        <v>4.730625</v>
      </c>
      <c r="Y98" s="72">
        <f t="shared" si="68"/>
        <v>5.0625</v>
      </c>
    </row>
    <row r="99" spans="1:25" s="9" customFormat="1" ht="15" customHeight="1" hidden="1" outlineLevel="1">
      <c r="A99" s="14"/>
      <c r="B99" s="8"/>
      <c r="D99" s="69"/>
      <c r="E99" s="69"/>
      <c r="F99" s="70" t="s">
        <v>22</v>
      </c>
      <c r="G99" s="71">
        <f aca="true" t="shared" si="69" ref="G99:Y99">G$38/2-G98/G$38</f>
        <v>1.2705</v>
      </c>
      <c r="H99" s="71">
        <f t="shared" si="69"/>
        <v>1.376375</v>
      </c>
      <c r="I99" s="71">
        <f t="shared" si="69"/>
        <v>1.47959</v>
      </c>
      <c r="J99" s="71">
        <f t="shared" si="69"/>
        <v>1.57815</v>
      </c>
      <c r="K99" s="71">
        <f t="shared" si="69"/>
        <v>1.67576</v>
      </c>
      <c r="L99" s="71">
        <f t="shared" si="69"/>
        <v>1.7724199999999999</v>
      </c>
      <c r="M99" s="71">
        <f t="shared" si="69"/>
        <v>1.86813</v>
      </c>
      <c r="N99" s="71">
        <f t="shared" si="69"/>
        <v>1.9650925925925926</v>
      </c>
      <c r="O99" s="71">
        <f t="shared" si="69"/>
        <v>2.064814814814815</v>
      </c>
      <c r="P99" s="71">
        <f t="shared" si="69"/>
        <v>2.1641666666666666</v>
      </c>
      <c r="Q99" s="71">
        <f t="shared" si="69"/>
        <v>2.263148148148148</v>
      </c>
      <c r="R99" s="71">
        <f t="shared" si="69"/>
        <v>2.3617592592592596</v>
      </c>
      <c r="S99" s="71">
        <f t="shared" si="69"/>
        <v>2.46</v>
      </c>
      <c r="T99" s="71">
        <f t="shared" si="69"/>
        <v>2.5625</v>
      </c>
      <c r="U99" s="71">
        <f t="shared" si="69"/>
        <v>2.665</v>
      </c>
      <c r="V99" s="71">
        <f t="shared" si="69"/>
        <v>2.7675</v>
      </c>
      <c r="W99" s="71">
        <f t="shared" si="69"/>
        <v>2.87</v>
      </c>
      <c r="X99" s="71">
        <f t="shared" si="69"/>
        <v>2.9725</v>
      </c>
      <c r="Y99" s="72">
        <f t="shared" si="69"/>
        <v>3.075</v>
      </c>
    </row>
    <row r="100" spans="1:25" s="9" customFormat="1" ht="15" customHeight="1" hidden="1" outlineLevel="1">
      <c r="A100" s="14"/>
      <c r="B100" s="8"/>
      <c r="D100" s="69"/>
      <c r="E100" s="69"/>
      <c r="F100" s="70" t="s">
        <v>23</v>
      </c>
      <c r="G100" s="71">
        <f>1.5*G$38-G99</f>
        <v>3.2295</v>
      </c>
      <c r="H100" s="71">
        <f aca="true" t="shared" si="70" ref="H100:Y100">2*(H$38-H99)</f>
        <v>3.74725</v>
      </c>
      <c r="I100" s="71">
        <f t="shared" si="70"/>
        <v>4.04082</v>
      </c>
      <c r="J100" s="71">
        <f t="shared" si="70"/>
        <v>4.3437</v>
      </c>
      <c r="K100" s="71">
        <f t="shared" si="70"/>
        <v>4.64848</v>
      </c>
      <c r="L100" s="71">
        <f t="shared" si="70"/>
        <v>4.95516</v>
      </c>
      <c r="M100" s="71">
        <f t="shared" si="70"/>
        <v>5.26374</v>
      </c>
      <c r="N100" s="71">
        <f t="shared" si="70"/>
        <v>5.569814814814815</v>
      </c>
      <c r="O100" s="71">
        <f t="shared" si="70"/>
        <v>5.87037037037037</v>
      </c>
      <c r="P100" s="71">
        <f t="shared" si="70"/>
        <v>6.171666666666667</v>
      </c>
      <c r="Q100" s="71">
        <f t="shared" si="70"/>
        <v>6.473703703703704</v>
      </c>
      <c r="R100" s="71">
        <f t="shared" si="70"/>
        <v>6.776481481481481</v>
      </c>
      <c r="S100" s="71">
        <f t="shared" si="70"/>
        <v>7.08</v>
      </c>
      <c r="T100" s="71">
        <f t="shared" si="70"/>
        <v>7.375</v>
      </c>
      <c r="U100" s="71">
        <f t="shared" si="70"/>
        <v>7.67</v>
      </c>
      <c r="V100" s="71">
        <f t="shared" si="70"/>
        <v>7.965</v>
      </c>
      <c r="W100" s="71">
        <f t="shared" si="70"/>
        <v>8.26</v>
      </c>
      <c r="X100" s="71">
        <f t="shared" si="70"/>
        <v>8.555</v>
      </c>
      <c r="Y100" s="72">
        <f t="shared" si="70"/>
        <v>8.85</v>
      </c>
    </row>
    <row r="101" spans="1:25" s="9" customFormat="1" ht="15" customHeight="1" hidden="1" outlineLevel="1">
      <c r="A101" s="14"/>
      <c r="B101" s="8"/>
      <c r="D101" s="69"/>
      <c r="E101" s="69"/>
      <c r="F101" s="70" t="s">
        <v>24</v>
      </c>
      <c r="G101" s="71">
        <f aca="true" t="shared" si="71" ref="G101:Y101">$C102/G99</f>
        <v>4.801546773764528</v>
      </c>
      <c r="H101" s="71">
        <f t="shared" si="71"/>
        <v>4.432197021936488</v>
      </c>
      <c r="I101" s="71">
        <f t="shared" si="71"/>
        <v>4.123010547562388</v>
      </c>
      <c r="J101" s="71">
        <f t="shared" si="71"/>
        <v>3.865516697441836</v>
      </c>
      <c r="K101" s="71">
        <f t="shared" si="71"/>
        <v>3.6403573161239278</v>
      </c>
      <c r="L101" s="71">
        <f t="shared" si="71"/>
        <v>3.4418282213402205</v>
      </c>
      <c r="M101" s="71">
        <f t="shared" si="71"/>
        <v>3.265492859740935</v>
      </c>
      <c r="N101" s="71">
        <f t="shared" si="71"/>
        <v>3.1043652594606135</v>
      </c>
      <c r="O101" s="71">
        <f t="shared" si="71"/>
        <v>2.954436946257067</v>
      </c>
      <c r="P101" s="71">
        <f t="shared" si="71"/>
        <v>2.8188056262154024</v>
      </c>
      <c r="Q101" s="71">
        <f t="shared" si="71"/>
        <v>2.6955218026975123</v>
      </c>
      <c r="R101" s="71">
        <f t="shared" si="71"/>
        <v>2.5829750226029167</v>
      </c>
      <c r="S101" s="71">
        <f t="shared" si="71"/>
        <v>2.4798232423039974</v>
      </c>
      <c r="T101" s="71">
        <f t="shared" si="71"/>
        <v>2.3806303126118373</v>
      </c>
      <c r="U101" s="71">
        <f t="shared" si="71"/>
        <v>2.2890676082806127</v>
      </c>
      <c r="V101" s="71">
        <f t="shared" si="71"/>
        <v>2.204287326492442</v>
      </c>
      <c r="W101" s="71">
        <f t="shared" si="71"/>
        <v>2.1255627791177116</v>
      </c>
      <c r="X101" s="71">
        <f t="shared" si="71"/>
        <v>2.0522675108722734</v>
      </c>
      <c r="Y101" s="71">
        <f t="shared" si="71"/>
        <v>1.9838585938431976</v>
      </c>
    </row>
    <row r="102" spans="1:25" s="9" customFormat="1" ht="15" customHeight="1" hidden="1" outlineLevel="1">
      <c r="A102" s="14"/>
      <c r="B102" s="8">
        <v>0.75</v>
      </c>
      <c r="C102" s="9">
        <f aca="true" t="shared" si="72" ref="C102:C107">C45</f>
        <v>6.100365176067833</v>
      </c>
      <c r="D102" s="69"/>
      <c r="E102" s="69"/>
      <c r="F102" s="70" t="s">
        <v>25</v>
      </c>
      <c r="G102" s="71">
        <f aca="true" t="shared" si="73" ref="G102:Y102">$B105*$B$6/G99^2*2/1000000</f>
        <v>7.907683731680074</v>
      </c>
      <c r="H102" s="71">
        <f t="shared" si="73"/>
        <v>6.737908031727401</v>
      </c>
      <c r="I102" s="71">
        <f t="shared" si="73"/>
        <v>5.830635000270976</v>
      </c>
      <c r="J102" s="71">
        <f t="shared" si="73"/>
        <v>5.125096779850279</v>
      </c>
      <c r="K102" s="71">
        <f t="shared" si="73"/>
        <v>4.545430175244489</v>
      </c>
      <c r="L102" s="71">
        <f t="shared" si="73"/>
        <v>4.063173301885233</v>
      </c>
      <c r="M102" s="71">
        <f t="shared" si="73"/>
        <v>3.6575008910474707</v>
      </c>
      <c r="N102" s="71">
        <f t="shared" si="73"/>
        <v>3.3054652281798598</v>
      </c>
      <c r="O102" s="71">
        <f t="shared" si="73"/>
        <v>2.993893966166186</v>
      </c>
      <c r="P102" s="71">
        <f t="shared" si="73"/>
        <v>2.725318240570111</v>
      </c>
      <c r="Q102" s="71">
        <f t="shared" si="73"/>
        <v>2.492141295180958</v>
      </c>
      <c r="R102" s="71">
        <f t="shared" si="73"/>
        <v>2.2883759601485387</v>
      </c>
      <c r="S102" s="71">
        <f t="shared" si="73"/>
        <v>2.1092517393890806</v>
      </c>
      <c r="T102" s="71">
        <f t="shared" si="73"/>
        <v>1.9438864030209766</v>
      </c>
      <c r="U102" s="71">
        <f t="shared" si="73"/>
        <v>1.7972322513137728</v>
      </c>
      <c r="V102" s="71">
        <f t="shared" si="73"/>
        <v>1.6665692755666806</v>
      </c>
      <c r="W102" s="71">
        <f t="shared" si="73"/>
        <v>1.5496543391429978</v>
      </c>
      <c r="X102" s="71">
        <f t="shared" si="73"/>
        <v>1.4446242590821763</v>
      </c>
      <c r="Y102" s="72">
        <f t="shared" si="73"/>
        <v>1.3499211132090112</v>
      </c>
    </row>
    <row r="103" spans="3:25" s="9" customFormat="1" ht="15" customHeight="1" hidden="1" outlineLevel="1">
      <c r="C103" s="9">
        <f t="shared" si="72"/>
        <v>28.449959972269927</v>
      </c>
      <c r="D103" s="69"/>
      <c r="E103" s="69"/>
      <c r="F103" s="70" t="s">
        <v>26</v>
      </c>
      <c r="G103" s="71">
        <f aca="true" t="shared" si="74" ref="G103:Y103">1.27/(G98*1000000/($B106*$B$6)+0.5*G100/$C103)</f>
        <v>8.238656876517286</v>
      </c>
      <c r="H103" s="71">
        <f t="shared" si="74"/>
        <v>7.04931712722846</v>
      </c>
      <c r="I103" s="71">
        <f t="shared" si="74"/>
        <v>6.198235780389662</v>
      </c>
      <c r="J103" s="71">
        <f t="shared" si="74"/>
        <v>5.431795474406402</v>
      </c>
      <c r="K103" s="71">
        <f t="shared" si="74"/>
        <v>4.7895427716319405</v>
      </c>
      <c r="L103" s="71">
        <f t="shared" si="74"/>
        <v>4.246706117701534</v>
      </c>
      <c r="M103" s="71">
        <f t="shared" si="74"/>
        <v>3.78435509183784</v>
      </c>
      <c r="N103" s="71">
        <f t="shared" si="74"/>
        <v>3.4019523953802313</v>
      </c>
      <c r="O103" s="71">
        <f t="shared" si="74"/>
        <v>3.0902341318609876</v>
      </c>
      <c r="P103" s="71">
        <f t="shared" si="74"/>
        <v>2.8178070436295544</v>
      </c>
      <c r="Q103" s="71">
        <f t="shared" si="74"/>
        <v>2.5784009499464258</v>
      </c>
      <c r="R103" s="71">
        <f t="shared" si="74"/>
        <v>2.3669472047782025</v>
      </c>
      <c r="S103" s="71">
        <f t="shared" si="74"/>
        <v>2.1793120036648377</v>
      </c>
      <c r="T103" s="71">
        <f t="shared" si="74"/>
        <v>2.0257554643141744</v>
      </c>
      <c r="U103" s="71">
        <f t="shared" si="74"/>
        <v>1.887937121696858</v>
      </c>
      <c r="V103" s="71">
        <f t="shared" si="74"/>
        <v>1.7637698718824053</v>
      </c>
      <c r="W103" s="71">
        <f t="shared" si="74"/>
        <v>1.6515025867067834</v>
      </c>
      <c r="X103" s="71">
        <f t="shared" si="74"/>
        <v>1.549657046372667</v>
      </c>
      <c r="Y103" s="72">
        <f t="shared" si="74"/>
        <v>1.4569783020321154</v>
      </c>
    </row>
    <row r="104" spans="3:25" s="9" customFormat="1" ht="15" customHeight="1" collapsed="1">
      <c r="C104" s="9">
        <f t="shared" si="72"/>
        <v>23.652860992033673</v>
      </c>
      <c r="D104" s="122">
        <f>B102</f>
        <v>0.75</v>
      </c>
      <c r="E104" s="119">
        <v>8.84</v>
      </c>
      <c r="F104" s="70" t="s">
        <v>38</v>
      </c>
      <c r="G104" s="71">
        <f aca="true" t="shared" si="75" ref="G104:Y104">MIN(G101,G102,G103)</f>
        <v>4.801546773764528</v>
      </c>
      <c r="H104" s="71">
        <f t="shared" si="75"/>
        <v>4.432197021936488</v>
      </c>
      <c r="I104" s="71">
        <f t="shared" si="75"/>
        <v>4.123010547562388</v>
      </c>
      <c r="J104" s="71">
        <f t="shared" si="75"/>
        <v>3.865516697441836</v>
      </c>
      <c r="K104" s="71">
        <f t="shared" si="75"/>
        <v>3.6403573161239278</v>
      </c>
      <c r="L104" s="71">
        <f t="shared" si="75"/>
        <v>3.4418282213402205</v>
      </c>
      <c r="M104" s="71">
        <f t="shared" si="75"/>
        <v>3.265492859740935</v>
      </c>
      <c r="N104" s="71">
        <f t="shared" si="75"/>
        <v>3.1043652594606135</v>
      </c>
      <c r="O104" s="71">
        <f t="shared" si="75"/>
        <v>2.954436946257067</v>
      </c>
      <c r="P104" s="71">
        <f t="shared" si="75"/>
        <v>2.725318240570111</v>
      </c>
      <c r="Q104" s="71">
        <f t="shared" si="75"/>
        <v>2.492141295180958</v>
      </c>
      <c r="R104" s="71">
        <f t="shared" si="75"/>
        <v>2.2883759601485387</v>
      </c>
      <c r="S104" s="71">
        <f t="shared" si="75"/>
        <v>2.1092517393890806</v>
      </c>
      <c r="T104" s="71">
        <f t="shared" si="75"/>
        <v>1.9438864030209766</v>
      </c>
      <c r="U104" s="71">
        <f t="shared" si="75"/>
        <v>1.7972322513137728</v>
      </c>
      <c r="V104" s="71">
        <f t="shared" si="75"/>
        <v>1.6665692755666806</v>
      </c>
      <c r="W104" s="71">
        <f t="shared" si="75"/>
        <v>1.5496543391429978</v>
      </c>
      <c r="X104" s="71">
        <f t="shared" si="75"/>
        <v>1.4446242590821763</v>
      </c>
      <c r="Y104" s="72">
        <f t="shared" si="75"/>
        <v>1.3499211132090112</v>
      </c>
    </row>
    <row r="105" spans="1:25" s="9" customFormat="1" ht="15" customHeight="1" hidden="1" outlineLevel="1">
      <c r="A105" s="15" t="s">
        <v>1</v>
      </c>
      <c r="B105" s="8">
        <f>C$2</f>
        <v>20970</v>
      </c>
      <c r="C105" s="9">
        <f t="shared" si="72"/>
        <v>0</v>
      </c>
      <c r="D105" s="120"/>
      <c r="E105" s="120"/>
      <c r="F105" s="70" t="s">
        <v>27</v>
      </c>
      <c r="G105" s="71">
        <f aca="true" t="shared" si="76" ref="G105:Y105">IF(G$38&lt;$P$4,IF(G$38&lt;$P$3,$Q$3*G$97,($Q$3+($Q$4-$Q$3)*(G$38-$P$3)/($P$4-$P$3))*G$97),IF(G$38&gt;6,0.9*G$97,($Q$4+(0.9-$Q$4)*(G$38-$P$4)/($P$5-$P$4))*G$97))</f>
        <v>0.666</v>
      </c>
      <c r="H105" s="71">
        <f t="shared" si="76"/>
        <v>0.7816249999999999</v>
      </c>
      <c r="I105" s="71">
        <f t="shared" si="76"/>
        <v>0.9065000000000001</v>
      </c>
      <c r="J105" s="71">
        <f t="shared" si="76"/>
        <v>1.07138671875</v>
      </c>
      <c r="K105" s="71">
        <f t="shared" si="76"/>
        <v>1.254</v>
      </c>
      <c r="L105" s="71">
        <f t="shared" si="76"/>
        <v>1.4551601562499998</v>
      </c>
      <c r="M105" s="71">
        <f t="shared" si="76"/>
        <v>1.6756874999999998</v>
      </c>
      <c r="N105" s="71">
        <f t="shared" si="76"/>
        <v>1.9113040865384616</v>
      </c>
      <c r="O105" s="71">
        <f t="shared" si="76"/>
        <v>2.144230769230769</v>
      </c>
      <c r="P105" s="71">
        <f t="shared" si="76"/>
        <v>2.3931670673076924</v>
      </c>
      <c r="Q105" s="71">
        <f t="shared" si="76"/>
        <v>2.6585096153846153</v>
      </c>
      <c r="R105" s="71">
        <f t="shared" si="76"/>
        <v>2.9406550480769234</v>
      </c>
      <c r="S105" s="71">
        <f t="shared" si="76"/>
        <v>3.24</v>
      </c>
      <c r="T105" s="71">
        <f t="shared" si="76"/>
        <v>3.515625</v>
      </c>
      <c r="U105" s="71">
        <f t="shared" si="76"/>
        <v>3.8024999999999998</v>
      </c>
      <c r="V105" s="71">
        <f t="shared" si="76"/>
        <v>4.100625000000001</v>
      </c>
      <c r="W105" s="71">
        <f t="shared" si="76"/>
        <v>4.41</v>
      </c>
      <c r="X105" s="71">
        <f t="shared" si="76"/>
        <v>4.730625</v>
      </c>
      <c r="Y105" s="72">
        <f t="shared" si="76"/>
        <v>5.0625</v>
      </c>
    </row>
    <row r="106" spans="1:25" s="9" customFormat="1" ht="15" customHeight="1" hidden="1" outlineLevel="1">
      <c r="A106" s="15" t="s">
        <v>2</v>
      </c>
      <c r="B106" s="9">
        <f>D$2</f>
        <v>23227.5</v>
      </c>
      <c r="C106" s="9">
        <f t="shared" si="72"/>
        <v>0</v>
      </c>
      <c r="D106" s="120"/>
      <c r="E106" s="120"/>
      <c r="F106" s="70" t="s">
        <v>22</v>
      </c>
      <c r="G106" s="71">
        <f aca="true" t="shared" si="77" ref="G106:Y106">G$38/2-G105/G$38</f>
        <v>1.278</v>
      </c>
      <c r="H106" s="71">
        <f t="shared" si="77"/>
        <v>1.3845</v>
      </c>
      <c r="I106" s="71">
        <f t="shared" si="77"/>
        <v>1.491</v>
      </c>
      <c r="J106" s="71">
        <f t="shared" si="77"/>
        <v>1.589296875</v>
      </c>
      <c r="K106" s="71">
        <f t="shared" si="77"/>
        <v>1.6865</v>
      </c>
      <c r="L106" s="71">
        <f t="shared" si="77"/>
        <v>1.782609375</v>
      </c>
      <c r="M106" s="71">
        <f t="shared" si="77"/>
        <v>1.877625</v>
      </c>
      <c r="N106" s="71">
        <f t="shared" si="77"/>
        <v>1.9726201923076923</v>
      </c>
      <c r="O106" s="71">
        <f t="shared" si="77"/>
        <v>2.0711538461538463</v>
      </c>
      <c r="P106" s="71">
        <f t="shared" si="77"/>
        <v>2.169158653846154</v>
      </c>
      <c r="Q106" s="71">
        <f t="shared" si="77"/>
        <v>2.2666346153846155</v>
      </c>
      <c r="R106" s="71">
        <f t="shared" si="77"/>
        <v>2.363581730769231</v>
      </c>
      <c r="S106" s="71">
        <f t="shared" si="77"/>
        <v>2.46</v>
      </c>
      <c r="T106" s="71">
        <f t="shared" si="77"/>
        <v>2.5625</v>
      </c>
      <c r="U106" s="71">
        <f t="shared" si="77"/>
        <v>2.665</v>
      </c>
      <c r="V106" s="71">
        <f t="shared" si="77"/>
        <v>2.7675</v>
      </c>
      <c r="W106" s="71">
        <f t="shared" si="77"/>
        <v>2.87</v>
      </c>
      <c r="X106" s="71">
        <f t="shared" si="77"/>
        <v>2.9725</v>
      </c>
      <c r="Y106" s="72">
        <f t="shared" si="77"/>
        <v>3.075</v>
      </c>
    </row>
    <row r="107" spans="1:25" s="9" customFormat="1" ht="15" customHeight="1" hidden="1" outlineLevel="1">
      <c r="A107" s="8" t="s">
        <v>3</v>
      </c>
      <c r="B107" s="8">
        <f>E$2</f>
        <v>1670000</v>
      </c>
      <c r="C107" s="9">
        <f t="shared" si="72"/>
        <v>0</v>
      </c>
      <c r="D107" s="120"/>
      <c r="E107" s="120"/>
      <c r="F107" s="70" t="s">
        <v>23</v>
      </c>
      <c r="G107" s="71">
        <f aca="true" t="shared" si="78" ref="G107:Y107">2*(G$38-G106)</f>
        <v>3.444</v>
      </c>
      <c r="H107" s="71">
        <f t="shared" si="78"/>
        <v>3.731</v>
      </c>
      <c r="I107" s="71">
        <f t="shared" si="78"/>
        <v>4.018</v>
      </c>
      <c r="J107" s="71">
        <f t="shared" si="78"/>
        <v>4.32140625</v>
      </c>
      <c r="K107" s="71">
        <f t="shared" si="78"/>
        <v>4.627</v>
      </c>
      <c r="L107" s="71">
        <f t="shared" si="78"/>
        <v>4.93478125</v>
      </c>
      <c r="M107" s="71">
        <f t="shared" si="78"/>
        <v>5.24475</v>
      </c>
      <c r="N107" s="71">
        <f t="shared" si="78"/>
        <v>5.554759615384615</v>
      </c>
      <c r="O107" s="71">
        <f t="shared" si="78"/>
        <v>5.857692307692307</v>
      </c>
      <c r="P107" s="71">
        <f t="shared" si="78"/>
        <v>6.161682692307692</v>
      </c>
      <c r="Q107" s="71">
        <f t="shared" si="78"/>
        <v>6.466730769230769</v>
      </c>
      <c r="R107" s="71">
        <f t="shared" si="78"/>
        <v>6.772836538461538</v>
      </c>
      <c r="S107" s="71">
        <f t="shared" si="78"/>
        <v>7.08</v>
      </c>
      <c r="T107" s="71">
        <f t="shared" si="78"/>
        <v>7.375</v>
      </c>
      <c r="U107" s="71">
        <f t="shared" si="78"/>
        <v>7.67</v>
      </c>
      <c r="V107" s="71">
        <f t="shared" si="78"/>
        <v>7.965</v>
      </c>
      <c r="W107" s="71">
        <f t="shared" si="78"/>
        <v>8.26</v>
      </c>
      <c r="X107" s="71">
        <f t="shared" si="78"/>
        <v>8.555</v>
      </c>
      <c r="Y107" s="72">
        <f t="shared" si="78"/>
        <v>8.85</v>
      </c>
    </row>
    <row r="108" spans="1:25" s="9" customFormat="1" ht="15" customHeight="1" hidden="1" outlineLevel="1">
      <c r="A108" s="8"/>
      <c r="B108" s="8"/>
      <c r="D108" s="120"/>
      <c r="E108" s="120"/>
      <c r="F108" s="70" t="s">
        <v>24</v>
      </c>
      <c r="G108" s="71">
        <f aca="true" t="shared" si="79" ref="G108:Y108">$C102/G106</f>
        <v>4.773368682369196</v>
      </c>
      <c r="H108" s="71">
        <f t="shared" si="79"/>
        <v>4.406186476033104</v>
      </c>
      <c r="I108" s="71">
        <f t="shared" si="79"/>
        <v>4.091458870602168</v>
      </c>
      <c r="J108" s="71">
        <f t="shared" si="79"/>
        <v>3.8384050658048596</v>
      </c>
      <c r="K108" s="71">
        <f t="shared" si="79"/>
        <v>3.6171747263965806</v>
      </c>
      <c r="L108" s="71">
        <f t="shared" si="79"/>
        <v>3.42215477020468</v>
      </c>
      <c r="M108" s="71">
        <f t="shared" si="79"/>
        <v>3.2489795225712443</v>
      </c>
      <c r="N108" s="71">
        <f t="shared" si="79"/>
        <v>3.092518874062245</v>
      </c>
      <c r="O108" s="71">
        <f t="shared" si="79"/>
        <v>2.945394513978898</v>
      </c>
      <c r="P108" s="71">
        <f t="shared" si="79"/>
        <v>2.812318575799526</v>
      </c>
      <c r="Q108" s="71">
        <f t="shared" si="79"/>
        <v>2.6913756344591464</v>
      </c>
      <c r="R108" s="71">
        <f t="shared" si="79"/>
        <v>2.580983384941997</v>
      </c>
      <c r="S108" s="71">
        <f t="shared" si="79"/>
        <v>2.4798232423039974</v>
      </c>
      <c r="T108" s="71">
        <f t="shared" si="79"/>
        <v>2.3806303126118373</v>
      </c>
      <c r="U108" s="71">
        <f t="shared" si="79"/>
        <v>2.2890676082806127</v>
      </c>
      <c r="V108" s="71">
        <f t="shared" si="79"/>
        <v>2.204287326492442</v>
      </c>
      <c r="W108" s="71">
        <f t="shared" si="79"/>
        <v>2.1255627791177116</v>
      </c>
      <c r="X108" s="71">
        <f t="shared" si="79"/>
        <v>2.0522675108722734</v>
      </c>
      <c r="Y108" s="71">
        <f t="shared" si="79"/>
        <v>1.9838585938431976</v>
      </c>
    </row>
    <row r="109" spans="1:25" s="9" customFormat="1" ht="15" customHeight="1" hidden="1" outlineLevel="1">
      <c r="A109" s="8" t="s">
        <v>28</v>
      </c>
      <c r="B109" s="17">
        <f>F$2</f>
        <v>1165000</v>
      </c>
      <c r="C109" s="9">
        <f aca="true" t="shared" si="80" ref="C109:C114">C52</f>
        <v>0</v>
      </c>
      <c r="D109" s="120"/>
      <c r="E109" s="120"/>
      <c r="F109" s="70" t="s">
        <v>25</v>
      </c>
      <c r="G109" s="71">
        <f aca="true" t="shared" si="81" ref="G109:Y109">$B105*$B$6/G106^2*2/1000000</f>
        <v>7.8151428815117026</v>
      </c>
      <c r="H109" s="71">
        <f t="shared" si="81"/>
        <v>6.659056656436006</v>
      </c>
      <c r="I109" s="71">
        <f t="shared" si="81"/>
        <v>5.7417376272330864</v>
      </c>
      <c r="J109" s="71">
        <f t="shared" si="81"/>
        <v>5.053456960427704</v>
      </c>
      <c r="K109" s="71">
        <f t="shared" si="81"/>
        <v>4.487721929174559</v>
      </c>
      <c r="L109" s="71">
        <f t="shared" si="81"/>
        <v>4.01685595086397</v>
      </c>
      <c r="M109" s="71">
        <f t="shared" si="81"/>
        <v>3.620603041189665</v>
      </c>
      <c r="N109" s="71">
        <f t="shared" si="81"/>
        <v>3.280285780639521</v>
      </c>
      <c r="O109" s="71">
        <f t="shared" si="81"/>
        <v>2.975595620226681</v>
      </c>
      <c r="P109" s="71">
        <f t="shared" si="81"/>
        <v>2.7127888674309313</v>
      </c>
      <c r="Q109" s="71">
        <f t="shared" si="81"/>
        <v>2.4844805222292328</v>
      </c>
      <c r="R109" s="71">
        <f t="shared" si="81"/>
        <v>2.2848483545006153</v>
      </c>
      <c r="S109" s="71">
        <f t="shared" si="81"/>
        <v>2.1092517393890806</v>
      </c>
      <c r="T109" s="71">
        <f t="shared" si="81"/>
        <v>1.9438864030209766</v>
      </c>
      <c r="U109" s="71">
        <f t="shared" si="81"/>
        <v>1.7972322513137728</v>
      </c>
      <c r="V109" s="71">
        <f t="shared" si="81"/>
        <v>1.6665692755666806</v>
      </c>
      <c r="W109" s="71">
        <f t="shared" si="81"/>
        <v>1.5496543391429978</v>
      </c>
      <c r="X109" s="71">
        <f t="shared" si="81"/>
        <v>1.4446242590821763</v>
      </c>
      <c r="Y109" s="72">
        <f t="shared" si="81"/>
        <v>1.3499211132090112</v>
      </c>
    </row>
    <row r="110" spans="1:25" s="9" customFormat="1" ht="15" customHeight="1" hidden="1" outlineLevel="1">
      <c r="A110" s="9" t="s">
        <v>29</v>
      </c>
      <c r="B110" s="19">
        <f>0.65*B107+0.35*B109</f>
        <v>1493250</v>
      </c>
      <c r="C110" s="9">
        <f t="shared" si="80"/>
        <v>0</v>
      </c>
      <c r="D110" s="120"/>
      <c r="E110" s="120"/>
      <c r="F110" s="70" t="s">
        <v>26</v>
      </c>
      <c r="G110" s="71">
        <f aca="true" t="shared" si="82" ref="G110:Y110">1.27/(G105*1000000/($B106*$B$6)+0.5*G107/$C104)</f>
        <v>7.604152044964786</v>
      </c>
      <c r="H110" s="71">
        <f t="shared" si="82"/>
        <v>6.704075288642247</v>
      </c>
      <c r="I110" s="71">
        <f t="shared" si="82"/>
        <v>5.9577284750143225</v>
      </c>
      <c r="J110" s="71">
        <f t="shared" si="82"/>
        <v>5.228343563791263</v>
      </c>
      <c r="K110" s="71">
        <f t="shared" si="82"/>
        <v>4.614845139063285</v>
      </c>
      <c r="L110" s="71">
        <f t="shared" si="82"/>
        <v>4.094650905941002</v>
      </c>
      <c r="M110" s="71">
        <f t="shared" si="82"/>
        <v>3.6503845364688603</v>
      </c>
      <c r="N110" s="71">
        <f t="shared" si="82"/>
        <v>3.274953961196756</v>
      </c>
      <c r="O110" s="71">
        <f t="shared" si="82"/>
        <v>2.973230891253688</v>
      </c>
      <c r="P110" s="71">
        <f t="shared" si="82"/>
        <v>2.7091318726227502</v>
      </c>
      <c r="Q110" s="71">
        <f t="shared" si="82"/>
        <v>2.4767531013307362</v>
      </c>
      <c r="R110" s="71">
        <f t="shared" si="82"/>
        <v>2.2713021535807973</v>
      </c>
      <c r="S110" s="71">
        <f t="shared" si="82"/>
        <v>2.088855321713758</v>
      </c>
      <c r="T110" s="71">
        <f t="shared" si="82"/>
        <v>1.9442330579439038</v>
      </c>
      <c r="U110" s="71">
        <f t="shared" si="82"/>
        <v>1.8142062819923257</v>
      </c>
      <c r="V110" s="71">
        <f t="shared" si="82"/>
        <v>1.696865463567165</v>
      </c>
      <c r="W110" s="71">
        <f t="shared" si="82"/>
        <v>1.590604839264282</v>
      </c>
      <c r="X110" s="71">
        <f t="shared" si="82"/>
        <v>1.4940659793855673</v>
      </c>
      <c r="Y110" s="72">
        <f t="shared" si="82"/>
        <v>1.4060932636804813</v>
      </c>
    </row>
    <row r="111" spans="3:25" s="16" customFormat="1" ht="15" customHeight="1" collapsed="1">
      <c r="C111" s="9">
        <f t="shared" si="80"/>
        <v>0</v>
      </c>
      <c r="D111" s="120"/>
      <c r="E111" s="120"/>
      <c r="F111" s="73" t="s">
        <v>39</v>
      </c>
      <c r="G111" s="74">
        <f aca="true" t="shared" si="83" ref="G111:Y111">MIN(G108,G109,G110)</f>
        <v>4.773368682369196</v>
      </c>
      <c r="H111" s="74">
        <f t="shared" si="83"/>
        <v>4.406186476033104</v>
      </c>
      <c r="I111" s="74">
        <f t="shared" si="83"/>
        <v>4.091458870602168</v>
      </c>
      <c r="J111" s="74">
        <f t="shared" si="83"/>
        <v>3.8384050658048596</v>
      </c>
      <c r="K111" s="74">
        <f t="shared" si="83"/>
        <v>3.6171747263965806</v>
      </c>
      <c r="L111" s="74">
        <f t="shared" si="83"/>
        <v>3.42215477020468</v>
      </c>
      <c r="M111" s="74">
        <f t="shared" si="83"/>
        <v>3.2489795225712443</v>
      </c>
      <c r="N111" s="74">
        <f t="shared" si="83"/>
        <v>3.092518874062245</v>
      </c>
      <c r="O111" s="74">
        <f t="shared" si="83"/>
        <v>2.945394513978898</v>
      </c>
      <c r="P111" s="74">
        <f t="shared" si="83"/>
        <v>2.7091318726227502</v>
      </c>
      <c r="Q111" s="74">
        <f t="shared" si="83"/>
        <v>2.4767531013307362</v>
      </c>
      <c r="R111" s="74">
        <f t="shared" si="83"/>
        <v>2.2713021535807973</v>
      </c>
      <c r="S111" s="74">
        <f t="shared" si="83"/>
        <v>2.088855321713758</v>
      </c>
      <c r="T111" s="74">
        <f t="shared" si="83"/>
        <v>1.9438864030209766</v>
      </c>
      <c r="U111" s="74">
        <f t="shared" si="83"/>
        <v>1.7972322513137728</v>
      </c>
      <c r="V111" s="74">
        <f t="shared" si="83"/>
        <v>1.6665692755666806</v>
      </c>
      <c r="W111" s="74">
        <f t="shared" si="83"/>
        <v>1.5496543391429978</v>
      </c>
      <c r="X111" s="74">
        <f t="shared" si="83"/>
        <v>1.4446242590821763</v>
      </c>
      <c r="Y111" s="75">
        <f t="shared" si="83"/>
        <v>1.3499211132090112</v>
      </c>
    </row>
    <row r="112" spans="3:25" s="8" customFormat="1" ht="15" customHeight="1">
      <c r="C112" s="9">
        <f t="shared" si="80"/>
        <v>0</v>
      </c>
      <c r="D112" s="120"/>
      <c r="E112" s="120"/>
      <c r="F112" s="70" t="s">
        <v>36</v>
      </c>
      <c r="G112" s="71">
        <f aca="true" t="shared" si="84" ref="G112:Y112">145*$B$7*$B110/(G$15*1000)^3/$B$11</f>
        <v>11.227027777777778</v>
      </c>
      <c r="H112" s="71">
        <f t="shared" si="84"/>
        <v>8.830361401911697</v>
      </c>
      <c r="I112" s="71">
        <f t="shared" si="84"/>
        <v>7.070081632653061</v>
      </c>
      <c r="J112" s="71">
        <f t="shared" si="84"/>
        <v>5.748238222222222</v>
      </c>
      <c r="K112" s="71">
        <f t="shared" si="84"/>
        <v>4.73640234375</v>
      </c>
      <c r="L112" s="71">
        <f t="shared" si="84"/>
        <v>3.9487693873397114</v>
      </c>
      <c r="M112" s="71">
        <f t="shared" si="84"/>
        <v>3.3265267489711934</v>
      </c>
      <c r="N112" s="71">
        <f t="shared" si="84"/>
        <v>2.828444962822569</v>
      </c>
      <c r="O112" s="71">
        <f t="shared" si="84"/>
        <v>2.425038</v>
      </c>
      <c r="P112" s="71">
        <f t="shared" si="84"/>
        <v>2.0948390022675736</v>
      </c>
      <c r="Q112" s="71">
        <f t="shared" si="84"/>
        <v>1.8219669421487603</v>
      </c>
      <c r="R112" s="71">
        <f t="shared" si="84"/>
        <v>1.5945018492644036</v>
      </c>
      <c r="S112" s="71">
        <f t="shared" si="84"/>
        <v>1.4033784722222222</v>
      </c>
      <c r="T112" s="71">
        <f t="shared" si="84"/>
        <v>1.241619456</v>
      </c>
      <c r="U112" s="71">
        <f t="shared" si="84"/>
        <v>1.103795175238962</v>
      </c>
      <c r="V112" s="71">
        <f t="shared" si="84"/>
        <v>0.9856375552507239</v>
      </c>
      <c r="W112" s="71">
        <f t="shared" si="84"/>
        <v>0.8837602040816326</v>
      </c>
      <c r="X112" s="71">
        <f t="shared" si="84"/>
        <v>0.7954530321046374</v>
      </c>
      <c r="Y112" s="72">
        <f t="shared" si="84"/>
        <v>0.7185297777777777</v>
      </c>
    </row>
    <row r="113" spans="3:25" s="11" customFormat="1" ht="15" customHeight="1">
      <c r="C113" s="9">
        <f t="shared" si="80"/>
        <v>0</v>
      </c>
      <c r="D113" s="121"/>
      <c r="E113" s="121"/>
      <c r="F113" s="76" t="s">
        <v>37</v>
      </c>
      <c r="G113" s="77">
        <f aca="true" t="shared" si="85" ref="G113:Y113">G112*$B$11/$B$12</f>
        <v>5.613513888888889</v>
      </c>
      <c r="H113" s="77">
        <f t="shared" si="85"/>
        <v>4.415180700955848</v>
      </c>
      <c r="I113" s="77">
        <f t="shared" si="85"/>
        <v>3.5350408163265303</v>
      </c>
      <c r="J113" s="77">
        <f t="shared" si="85"/>
        <v>2.874119111111111</v>
      </c>
      <c r="K113" s="77">
        <f t="shared" si="85"/>
        <v>2.368201171875</v>
      </c>
      <c r="L113" s="77">
        <f t="shared" si="85"/>
        <v>1.9743846936698557</v>
      </c>
      <c r="M113" s="77">
        <f t="shared" si="85"/>
        <v>1.6632633744855967</v>
      </c>
      <c r="N113" s="77">
        <f t="shared" si="85"/>
        <v>1.4142224814112845</v>
      </c>
      <c r="O113" s="77">
        <f t="shared" si="85"/>
        <v>1.212519</v>
      </c>
      <c r="P113" s="77">
        <f t="shared" si="85"/>
        <v>1.0474195011337868</v>
      </c>
      <c r="Q113" s="77">
        <f t="shared" si="85"/>
        <v>0.9109834710743802</v>
      </c>
      <c r="R113" s="77">
        <f t="shared" si="85"/>
        <v>0.7972509246322018</v>
      </c>
      <c r="S113" s="77">
        <f t="shared" si="85"/>
        <v>0.7016892361111111</v>
      </c>
      <c r="T113" s="77">
        <f t="shared" si="85"/>
        <v>0.620809728</v>
      </c>
      <c r="U113" s="77">
        <f t="shared" si="85"/>
        <v>0.551897587619481</v>
      </c>
      <c r="V113" s="77">
        <f t="shared" si="85"/>
        <v>0.49281877762536197</v>
      </c>
      <c r="W113" s="77">
        <f t="shared" si="85"/>
        <v>0.4418801020408163</v>
      </c>
      <c r="X113" s="77">
        <f t="shared" si="85"/>
        <v>0.3977265160523187</v>
      </c>
      <c r="Y113" s="78">
        <f t="shared" si="85"/>
        <v>0.35926488888888886</v>
      </c>
    </row>
    <row r="114" spans="2:25" s="9" customFormat="1" ht="15" customHeight="1" hidden="1" outlineLevel="1">
      <c r="B114" s="8"/>
      <c r="C114" s="9">
        <f t="shared" si="80"/>
        <v>0</v>
      </c>
      <c r="D114" s="79"/>
      <c r="E114" s="79"/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2"/>
    </row>
    <row r="115" spans="2:25" s="9" customFormat="1" ht="15" customHeight="1" hidden="1" outlineLevel="1">
      <c r="B115" s="8">
        <f>I115*1000000/($B123*$B$6)</f>
        <v>0.11410290750579741</v>
      </c>
      <c r="D115" s="79"/>
      <c r="E115" s="79"/>
      <c r="F115" s="70" t="s">
        <v>21</v>
      </c>
      <c r="G115" s="71">
        <f aca="true" t="shared" si="86" ref="G115:Y115">IF(G$38&lt;$M$4,IF(G$38&lt;$M$3,$N$3*G$97,($N$3+0.095*(G$38-$M$3)/1.25)*G$97),IF(G$38&gt;6,0.9*G$97,(0.86+0.04*(G$38-$M$4)/1.35)*G$97))</f>
        <v>0.6885</v>
      </c>
      <c r="H115" s="71">
        <f t="shared" si="86"/>
        <v>0.80803125</v>
      </c>
      <c r="I115" s="71">
        <f t="shared" si="86"/>
        <v>0.9464350000000001</v>
      </c>
      <c r="J115" s="71">
        <f t="shared" si="86"/>
        <v>1.1131875</v>
      </c>
      <c r="K115" s="71">
        <f t="shared" si="86"/>
        <v>1.2969600000000001</v>
      </c>
      <c r="L115" s="71">
        <f t="shared" si="86"/>
        <v>1.498465</v>
      </c>
      <c r="M115" s="71">
        <f t="shared" si="86"/>
        <v>1.718415</v>
      </c>
      <c r="N115" s="71">
        <f t="shared" si="86"/>
        <v>1.9470601851851852</v>
      </c>
      <c r="O115" s="71">
        <f t="shared" si="86"/>
        <v>2.175925925925926</v>
      </c>
      <c r="P115" s="71">
        <f t="shared" si="86"/>
        <v>2.419375</v>
      </c>
      <c r="Q115" s="71">
        <f t="shared" si="86"/>
        <v>2.6776851851851853</v>
      </c>
      <c r="R115" s="71">
        <f t="shared" si="86"/>
        <v>2.951134259259259</v>
      </c>
      <c r="S115" s="71">
        <f t="shared" si="86"/>
        <v>3.24</v>
      </c>
      <c r="T115" s="71">
        <f t="shared" si="86"/>
        <v>3.515625</v>
      </c>
      <c r="U115" s="71">
        <f t="shared" si="86"/>
        <v>3.8024999999999998</v>
      </c>
      <c r="V115" s="71">
        <f t="shared" si="86"/>
        <v>4.100625000000001</v>
      </c>
      <c r="W115" s="71">
        <f t="shared" si="86"/>
        <v>4.41</v>
      </c>
      <c r="X115" s="71">
        <f t="shared" si="86"/>
        <v>4.730625</v>
      </c>
      <c r="Y115" s="72">
        <f t="shared" si="86"/>
        <v>5.0625</v>
      </c>
    </row>
    <row r="116" spans="2:25" s="9" customFormat="1" ht="15" customHeight="1" hidden="1" outlineLevel="1">
      <c r="B116" s="8">
        <f>0.5*I117/$C120*$E$9</f>
        <v>0.056617272745340966</v>
      </c>
      <c r="D116" s="79"/>
      <c r="E116" s="79"/>
      <c r="F116" s="70" t="s">
        <v>22</v>
      </c>
      <c r="G116" s="71">
        <f aca="true" t="shared" si="87" ref="G116:Y116">G$38/2-G115/G$38</f>
        <v>1.2705</v>
      </c>
      <c r="H116" s="71">
        <f t="shared" si="87"/>
        <v>1.376375</v>
      </c>
      <c r="I116" s="71">
        <f t="shared" si="87"/>
        <v>1.47959</v>
      </c>
      <c r="J116" s="71">
        <f t="shared" si="87"/>
        <v>1.57815</v>
      </c>
      <c r="K116" s="71">
        <f t="shared" si="87"/>
        <v>1.67576</v>
      </c>
      <c r="L116" s="71">
        <f t="shared" si="87"/>
        <v>1.7724199999999999</v>
      </c>
      <c r="M116" s="71">
        <f t="shared" si="87"/>
        <v>1.86813</v>
      </c>
      <c r="N116" s="71">
        <f t="shared" si="87"/>
        <v>1.9650925925925926</v>
      </c>
      <c r="O116" s="71">
        <f t="shared" si="87"/>
        <v>2.064814814814815</v>
      </c>
      <c r="P116" s="71">
        <f t="shared" si="87"/>
        <v>2.1641666666666666</v>
      </c>
      <c r="Q116" s="71">
        <f t="shared" si="87"/>
        <v>2.263148148148148</v>
      </c>
      <c r="R116" s="71">
        <f t="shared" si="87"/>
        <v>2.3617592592592596</v>
      </c>
      <c r="S116" s="71">
        <f t="shared" si="87"/>
        <v>2.46</v>
      </c>
      <c r="T116" s="71">
        <f t="shared" si="87"/>
        <v>2.5625</v>
      </c>
      <c r="U116" s="71">
        <f t="shared" si="87"/>
        <v>2.665</v>
      </c>
      <c r="V116" s="71">
        <f t="shared" si="87"/>
        <v>2.7675</v>
      </c>
      <c r="W116" s="71">
        <f t="shared" si="87"/>
        <v>2.87</v>
      </c>
      <c r="X116" s="71">
        <f t="shared" si="87"/>
        <v>2.9725</v>
      </c>
      <c r="Y116" s="72">
        <f t="shared" si="87"/>
        <v>3.075</v>
      </c>
    </row>
    <row r="117" spans="2:25" s="9" customFormat="1" ht="15" customHeight="1" hidden="1" outlineLevel="1">
      <c r="B117" s="8"/>
      <c r="D117" s="79"/>
      <c r="E117" s="79"/>
      <c r="F117" s="70" t="s">
        <v>23</v>
      </c>
      <c r="G117" s="71">
        <f aca="true" t="shared" si="88" ref="G117:Y117">1.5*G$38-G116</f>
        <v>3.2295</v>
      </c>
      <c r="H117" s="71">
        <f t="shared" si="88"/>
        <v>3.498625</v>
      </c>
      <c r="I117" s="71">
        <f t="shared" si="88"/>
        <v>3.77041</v>
      </c>
      <c r="J117" s="71">
        <f t="shared" si="88"/>
        <v>4.04685</v>
      </c>
      <c r="K117" s="71">
        <f t="shared" si="88"/>
        <v>4.32424</v>
      </c>
      <c r="L117" s="71">
        <f t="shared" si="88"/>
        <v>4.60258</v>
      </c>
      <c r="M117" s="71">
        <f t="shared" si="88"/>
        <v>4.88187</v>
      </c>
      <c r="N117" s="71">
        <f t="shared" si="88"/>
        <v>5.159907407407408</v>
      </c>
      <c r="O117" s="71">
        <f t="shared" si="88"/>
        <v>5.435185185185185</v>
      </c>
      <c r="P117" s="71">
        <f t="shared" si="88"/>
        <v>5.710833333333333</v>
      </c>
      <c r="Q117" s="71">
        <f t="shared" si="88"/>
        <v>5.986851851851852</v>
      </c>
      <c r="R117" s="71">
        <f t="shared" si="88"/>
        <v>6.26324074074074</v>
      </c>
      <c r="S117" s="71">
        <f t="shared" si="88"/>
        <v>6.54</v>
      </c>
      <c r="T117" s="71">
        <f t="shared" si="88"/>
        <v>6.8125</v>
      </c>
      <c r="U117" s="71">
        <f t="shared" si="88"/>
        <v>7.085</v>
      </c>
      <c r="V117" s="71">
        <f t="shared" si="88"/>
        <v>7.3575</v>
      </c>
      <c r="W117" s="71">
        <f t="shared" si="88"/>
        <v>7.63</v>
      </c>
      <c r="X117" s="71">
        <f t="shared" si="88"/>
        <v>7.9025</v>
      </c>
      <c r="Y117" s="72">
        <f t="shared" si="88"/>
        <v>8.175</v>
      </c>
    </row>
    <row r="118" spans="2:25" s="9" customFormat="1" ht="15" customHeight="1" hidden="1" outlineLevel="1">
      <c r="B118" s="8"/>
      <c r="D118" s="79"/>
      <c r="E118" s="79"/>
      <c r="F118" s="70" t="s">
        <v>24</v>
      </c>
      <c r="G118" s="71">
        <f aca="true" t="shared" si="89" ref="G118:Y118">$C119/G116</f>
        <v>6.707223329541146</v>
      </c>
      <c r="H118" s="71">
        <f t="shared" si="89"/>
        <v>6.191283073422597</v>
      </c>
      <c r="I118" s="71">
        <f t="shared" si="89"/>
        <v>5.759384180875801</v>
      </c>
      <c r="J118" s="71">
        <f t="shared" si="89"/>
        <v>5.399694097634589</v>
      </c>
      <c r="K118" s="71">
        <f t="shared" si="89"/>
        <v>5.0851716475999105</v>
      </c>
      <c r="L118" s="71">
        <f t="shared" si="89"/>
        <v>4.807848726702489</v>
      </c>
      <c r="M118" s="71">
        <f t="shared" si="89"/>
        <v>4.56152796656658</v>
      </c>
      <c r="N118" s="71">
        <f t="shared" si="89"/>
        <v>4.336450746546948</v>
      </c>
      <c r="O118" s="71">
        <f t="shared" si="89"/>
        <v>4.127017676859457</v>
      </c>
      <c r="P118" s="71">
        <f t="shared" si="89"/>
        <v>3.937555906129546</v>
      </c>
      <c r="Q118" s="71">
        <f t="shared" si="89"/>
        <v>3.7653422057919106</v>
      </c>
      <c r="R118" s="71">
        <f t="shared" si="89"/>
        <v>3.6081269531487776</v>
      </c>
      <c r="S118" s="71">
        <f t="shared" si="89"/>
        <v>3.4640354634886283</v>
      </c>
      <c r="T118" s="71">
        <f t="shared" si="89"/>
        <v>3.3254740449490834</v>
      </c>
      <c r="U118" s="71">
        <f t="shared" si="89"/>
        <v>3.1975711970664262</v>
      </c>
      <c r="V118" s="71">
        <f t="shared" si="89"/>
        <v>3.079142634212114</v>
      </c>
      <c r="W118" s="71">
        <f t="shared" si="89"/>
        <v>2.9691732544188243</v>
      </c>
      <c r="X118" s="71">
        <f t="shared" si="89"/>
        <v>2.8667879697836924</v>
      </c>
      <c r="Y118" s="71">
        <f t="shared" si="89"/>
        <v>2.7712283707909027</v>
      </c>
    </row>
    <row r="119" spans="1:25" s="9" customFormat="1" ht="15" customHeight="1" hidden="1" outlineLevel="1">
      <c r="A119" s="14"/>
      <c r="B119" s="8">
        <v>0.88</v>
      </c>
      <c r="C119" s="9">
        <f aca="true" t="shared" si="90" ref="C119:C124">C62</f>
        <v>8.521527240182026</v>
      </c>
      <c r="D119" s="79"/>
      <c r="E119" s="79"/>
      <c r="F119" s="70" t="s">
        <v>25</v>
      </c>
      <c r="G119" s="71">
        <f aca="true" t="shared" si="91" ref="G119:Y119">$B122*$B$6/G116^2*2/1000000</f>
        <v>9.687572487690087</v>
      </c>
      <c r="H119" s="71">
        <f t="shared" si="91"/>
        <v>8.254499634481494</v>
      </c>
      <c r="I119" s="71">
        <f t="shared" si="91"/>
        <v>7.1430144566982054</v>
      </c>
      <c r="J119" s="71">
        <f t="shared" si="91"/>
        <v>6.278671257718344</v>
      </c>
      <c r="K119" s="71">
        <f t="shared" si="91"/>
        <v>5.568531292419213</v>
      </c>
      <c r="L119" s="71">
        <f t="shared" si="91"/>
        <v>4.977726376987679</v>
      </c>
      <c r="M119" s="71">
        <f t="shared" si="91"/>
        <v>4.480743819313758</v>
      </c>
      <c r="N119" s="71">
        <f t="shared" si="91"/>
        <v>4.049470754026733</v>
      </c>
      <c r="O119" s="71">
        <f t="shared" si="91"/>
        <v>3.6677699566432675</v>
      </c>
      <c r="P119" s="71">
        <f t="shared" si="91"/>
        <v>3.338742279458567</v>
      </c>
      <c r="Q119" s="71">
        <f t="shared" si="91"/>
        <v>3.0530810621458664</v>
      </c>
      <c r="R119" s="71">
        <f t="shared" si="91"/>
        <v>2.803451521994085</v>
      </c>
      <c r="S119" s="71">
        <f t="shared" si="91"/>
        <v>2.5840094031905325</v>
      </c>
      <c r="T119" s="71">
        <f t="shared" si="91"/>
        <v>2.3814230659803948</v>
      </c>
      <c r="U119" s="71">
        <f t="shared" si="91"/>
        <v>2.201759491475957</v>
      </c>
      <c r="V119" s="71">
        <f t="shared" si="91"/>
        <v>2.0416864420270873</v>
      </c>
      <c r="W119" s="71">
        <f t="shared" si="91"/>
        <v>1.8984558880583504</v>
      </c>
      <c r="X119" s="71">
        <f t="shared" si="91"/>
        <v>1.7697852749557037</v>
      </c>
      <c r="Y119" s="72">
        <f t="shared" si="91"/>
        <v>1.6537660180419407</v>
      </c>
    </row>
    <row r="120" spans="2:25" s="9" customFormat="1" ht="15" customHeight="1" hidden="1" outlineLevel="1">
      <c r="B120" s="8"/>
      <c r="C120" s="9">
        <f t="shared" si="90"/>
        <v>38.291949521330544</v>
      </c>
      <c r="D120" s="79"/>
      <c r="E120" s="79"/>
      <c r="F120" s="70" t="s">
        <v>26</v>
      </c>
      <c r="G120" s="71">
        <f aca="true" t="shared" si="92" ref="G120:Y120">1.27/(G115*1000000/($B123*$B$6)+0.5*G117/$C120)</f>
        <v>10.145754524891288</v>
      </c>
      <c r="H120" s="71">
        <f t="shared" si="92"/>
        <v>8.874887434764261</v>
      </c>
      <c r="I120" s="71">
        <f t="shared" si="92"/>
        <v>7.7754156968218755</v>
      </c>
      <c r="J120" s="71">
        <f t="shared" si="92"/>
        <v>6.789673451158896</v>
      </c>
      <c r="K120" s="71">
        <f t="shared" si="92"/>
        <v>5.967300601964174</v>
      </c>
      <c r="L120" s="71">
        <f t="shared" si="92"/>
        <v>5.2750811940872335</v>
      </c>
      <c r="M120" s="71">
        <f t="shared" si="92"/>
        <v>4.687751912907948</v>
      </c>
      <c r="N120" s="71">
        <f t="shared" si="92"/>
        <v>4.203698636297431</v>
      </c>
      <c r="O120" s="71">
        <f t="shared" si="92"/>
        <v>3.8103629092861433</v>
      </c>
      <c r="P120" s="71">
        <f t="shared" si="92"/>
        <v>3.467564639511888</v>
      </c>
      <c r="Q120" s="71">
        <f t="shared" si="92"/>
        <v>3.167102165060735</v>
      </c>
      <c r="R120" s="71">
        <f t="shared" si="92"/>
        <v>2.902368374416075</v>
      </c>
      <c r="S120" s="71">
        <f t="shared" si="92"/>
        <v>2.667992401144788</v>
      </c>
      <c r="T120" s="71">
        <f t="shared" si="92"/>
        <v>2.476593780814432</v>
      </c>
      <c r="U120" s="71">
        <f t="shared" si="92"/>
        <v>2.3051296634188163</v>
      </c>
      <c r="V120" s="71">
        <f t="shared" si="92"/>
        <v>2.1509182205583417</v>
      </c>
      <c r="W120" s="71">
        <f t="shared" si="92"/>
        <v>2.0117149077764367</v>
      </c>
      <c r="X120" s="71">
        <f t="shared" si="92"/>
        <v>1.8856294353608798</v>
      </c>
      <c r="Y120" s="72">
        <f t="shared" si="92"/>
        <v>1.7710606014199735</v>
      </c>
    </row>
    <row r="121" spans="3:25" s="9" customFormat="1" ht="15" customHeight="1" collapsed="1">
      <c r="C121" s="9">
        <f t="shared" si="90"/>
        <v>31.93836741624661</v>
      </c>
      <c r="D121" s="122">
        <f>B119</f>
        <v>0.88</v>
      </c>
      <c r="E121" s="119">
        <v>10.36</v>
      </c>
      <c r="F121" s="70" t="s">
        <v>38</v>
      </c>
      <c r="G121" s="71">
        <f aca="true" t="shared" si="93" ref="G121:Y121">MIN(G118,G119,G120)</f>
        <v>6.707223329541146</v>
      </c>
      <c r="H121" s="71">
        <f t="shared" si="93"/>
        <v>6.191283073422597</v>
      </c>
      <c r="I121" s="71">
        <f t="shared" si="93"/>
        <v>5.759384180875801</v>
      </c>
      <c r="J121" s="71">
        <f t="shared" si="93"/>
        <v>5.399694097634589</v>
      </c>
      <c r="K121" s="71">
        <f t="shared" si="93"/>
        <v>5.0851716475999105</v>
      </c>
      <c r="L121" s="71">
        <f t="shared" si="93"/>
        <v>4.807848726702489</v>
      </c>
      <c r="M121" s="71">
        <f t="shared" si="93"/>
        <v>4.480743819313758</v>
      </c>
      <c r="N121" s="71">
        <f t="shared" si="93"/>
        <v>4.049470754026733</v>
      </c>
      <c r="O121" s="71">
        <f t="shared" si="93"/>
        <v>3.6677699566432675</v>
      </c>
      <c r="P121" s="71">
        <f t="shared" si="93"/>
        <v>3.338742279458567</v>
      </c>
      <c r="Q121" s="71">
        <f t="shared" si="93"/>
        <v>3.0530810621458664</v>
      </c>
      <c r="R121" s="71">
        <f t="shared" si="93"/>
        <v>2.803451521994085</v>
      </c>
      <c r="S121" s="71">
        <f t="shared" si="93"/>
        <v>2.5840094031905325</v>
      </c>
      <c r="T121" s="71">
        <f t="shared" si="93"/>
        <v>2.3814230659803948</v>
      </c>
      <c r="U121" s="71">
        <f t="shared" si="93"/>
        <v>2.201759491475957</v>
      </c>
      <c r="V121" s="71">
        <f t="shared" si="93"/>
        <v>2.0416864420270873</v>
      </c>
      <c r="W121" s="71">
        <f t="shared" si="93"/>
        <v>1.8984558880583504</v>
      </c>
      <c r="X121" s="71">
        <f t="shared" si="93"/>
        <v>1.7697852749557037</v>
      </c>
      <c r="Y121" s="72">
        <f t="shared" si="93"/>
        <v>1.6537660180419407</v>
      </c>
    </row>
    <row r="122" spans="1:25" s="9" customFormat="1" ht="15" customHeight="1" hidden="1" outlineLevel="1">
      <c r="A122" s="15" t="s">
        <v>1</v>
      </c>
      <c r="B122" s="8">
        <f>C$3</f>
        <v>25690</v>
      </c>
      <c r="C122" s="9">
        <f t="shared" si="90"/>
        <v>0</v>
      </c>
      <c r="D122" s="120"/>
      <c r="E122" s="120"/>
      <c r="F122" s="70" t="s">
        <v>27</v>
      </c>
      <c r="G122" s="71">
        <f aca="true" t="shared" si="94" ref="G122:Y122">IF(G$38&lt;$P$4,IF(G$38&lt;$P$3,$Q$3*G$97,($Q$3+($Q$4-$Q$3)*(G$38-$P$3)/($P$4-$P$3))*G$97),IF(G$38&gt;6,0.9*G$97,($Q$4+(0.9-$Q$4)*(G$38-$P$4)/($P$5-$P$4))*G$97))</f>
        <v>0.666</v>
      </c>
      <c r="H122" s="71">
        <f t="shared" si="94"/>
        <v>0.7816249999999999</v>
      </c>
      <c r="I122" s="71">
        <f t="shared" si="94"/>
        <v>0.9065000000000001</v>
      </c>
      <c r="J122" s="71">
        <f t="shared" si="94"/>
        <v>1.07138671875</v>
      </c>
      <c r="K122" s="71">
        <f t="shared" si="94"/>
        <v>1.254</v>
      </c>
      <c r="L122" s="71">
        <f t="shared" si="94"/>
        <v>1.4551601562499998</v>
      </c>
      <c r="M122" s="71">
        <f t="shared" si="94"/>
        <v>1.6756874999999998</v>
      </c>
      <c r="N122" s="71">
        <f t="shared" si="94"/>
        <v>1.9113040865384616</v>
      </c>
      <c r="O122" s="71">
        <f t="shared" si="94"/>
        <v>2.144230769230769</v>
      </c>
      <c r="P122" s="71">
        <f t="shared" si="94"/>
        <v>2.3931670673076924</v>
      </c>
      <c r="Q122" s="71">
        <f t="shared" si="94"/>
        <v>2.6585096153846153</v>
      </c>
      <c r="R122" s="71">
        <f t="shared" si="94"/>
        <v>2.9406550480769234</v>
      </c>
      <c r="S122" s="71">
        <f t="shared" si="94"/>
        <v>3.24</v>
      </c>
      <c r="T122" s="71">
        <f t="shared" si="94"/>
        <v>3.515625</v>
      </c>
      <c r="U122" s="71">
        <f t="shared" si="94"/>
        <v>3.8024999999999998</v>
      </c>
      <c r="V122" s="71">
        <f t="shared" si="94"/>
        <v>4.100625000000001</v>
      </c>
      <c r="W122" s="71">
        <f t="shared" si="94"/>
        <v>4.41</v>
      </c>
      <c r="X122" s="71">
        <f t="shared" si="94"/>
        <v>4.730625</v>
      </c>
      <c r="Y122" s="72">
        <f t="shared" si="94"/>
        <v>5.0625</v>
      </c>
    </row>
    <row r="123" spans="1:25" s="9" customFormat="1" ht="15" customHeight="1" hidden="1" outlineLevel="1">
      <c r="A123" s="15" t="s">
        <v>2</v>
      </c>
      <c r="B123" s="9">
        <f>D$3</f>
        <v>27253.6</v>
      </c>
      <c r="C123" s="9">
        <f t="shared" si="90"/>
        <v>0</v>
      </c>
      <c r="D123" s="120"/>
      <c r="E123" s="120"/>
      <c r="F123" s="70" t="s">
        <v>22</v>
      </c>
      <c r="G123" s="71">
        <f aca="true" t="shared" si="95" ref="G123:Y123">G$38/2-G122/G$38</f>
        <v>1.278</v>
      </c>
      <c r="H123" s="71">
        <f t="shared" si="95"/>
        <v>1.3845</v>
      </c>
      <c r="I123" s="71">
        <f t="shared" si="95"/>
        <v>1.491</v>
      </c>
      <c r="J123" s="71">
        <f t="shared" si="95"/>
        <v>1.589296875</v>
      </c>
      <c r="K123" s="71">
        <f t="shared" si="95"/>
        <v>1.6865</v>
      </c>
      <c r="L123" s="71">
        <f t="shared" si="95"/>
        <v>1.782609375</v>
      </c>
      <c r="M123" s="71">
        <f t="shared" si="95"/>
        <v>1.877625</v>
      </c>
      <c r="N123" s="71">
        <f t="shared" si="95"/>
        <v>1.9726201923076923</v>
      </c>
      <c r="O123" s="71">
        <f t="shared" si="95"/>
        <v>2.0711538461538463</v>
      </c>
      <c r="P123" s="71">
        <f t="shared" si="95"/>
        <v>2.169158653846154</v>
      </c>
      <c r="Q123" s="71">
        <f t="shared" si="95"/>
        <v>2.2666346153846155</v>
      </c>
      <c r="R123" s="71">
        <f t="shared" si="95"/>
        <v>2.363581730769231</v>
      </c>
      <c r="S123" s="71">
        <f t="shared" si="95"/>
        <v>2.46</v>
      </c>
      <c r="T123" s="71">
        <f t="shared" si="95"/>
        <v>2.5625</v>
      </c>
      <c r="U123" s="71">
        <f t="shared" si="95"/>
        <v>2.665</v>
      </c>
      <c r="V123" s="71">
        <f t="shared" si="95"/>
        <v>2.7675</v>
      </c>
      <c r="W123" s="71">
        <f t="shared" si="95"/>
        <v>2.87</v>
      </c>
      <c r="X123" s="71">
        <f t="shared" si="95"/>
        <v>2.9725</v>
      </c>
      <c r="Y123" s="72">
        <f t="shared" si="95"/>
        <v>3.075</v>
      </c>
    </row>
    <row r="124" spans="1:25" s="9" customFormat="1" ht="15" customHeight="1" hidden="1" outlineLevel="1">
      <c r="A124" s="8" t="s">
        <v>3</v>
      </c>
      <c r="B124" s="17">
        <f>E$3</f>
        <v>1940000</v>
      </c>
      <c r="C124" s="9">
        <f t="shared" si="90"/>
        <v>0</v>
      </c>
      <c r="D124" s="120"/>
      <c r="E124" s="120"/>
      <c r="F124" s="70" t="s">
        <v>23</v>
      </c>
      <c r="G124" s="71">
        <f aca="true" t="shared" si="96" ref="G124:Y124">2*(G$38-G123)</f>
        <v>3.444</v>
      </c>
      <c r="H124" s="71">
        <f t="shared" si="96"/>
        <v>3.731</v>
      </c>
      <c r="I124" s="71">
        <f t="shared" si="96"/>
        <v>4.018</v>
      </c>
      <c r="J124" s="71">
        <f t="shared" si="96"/>
        <v>4.32140625</v>
      </c>
      <c r="K124" s="71">
        <f t="shared" si="96"/>
        <v>4.627</v>
      </c>
      <c r="L124" s="71">
        <f t="shared" si="96"/>
        <v>4.93478125</v>
      </c>
      <c r="M124" s="71">
        <f t="shared" si="96"/>
        <v>5.24475</v>
      </c>
      <c r="N124" s="71">
        <f t="shared" si="96"/>
        <v>5.554759615384615</v>
      </c>
      <c r="O124" s="71">
        <f t="shared" si="96"/>
        <v>5.857692307692307</v>
      </c>
      <c r="P124" s="71">
        <f t="shared" si="96"/>
        <v>6.161682692307692</v>
      </c>
      <c r="Q124" s="71">
        <f t="shared" si="96"/>
        <v>6.466730769230769</v>
      </c>
      <c r="R124" s="71">
        <f t="shared" si="96"/>
        <v>6.772836538461538</v>
      </c>
      <c r="S124" s="71">
        <f t="shared" si="96"/>
        <v>7.08</v>
      </c>
      <c r="T124" s="71">
        <f t="shared" si="96"/>
        <v>7.375</v>
      </c>
      <c r="U124" s="71">
        <f t="shared" si="96"/>
        <v>7.67</v>
      </c>
      <c r="V124" s="71">
        <f t="shared" si="96"/>
        <v>7.965</v>
      </c>
      <c r="W124" s="71">
        <f t="shared" si="96"/>
        <v>8.26</v>
      </c>
      <c r="X124" s="71">
        <f t="shared" si="96"/>
        <v>8.555</v>
      </c>
      <c r="Y124" s="72">
        <f t="shared" si="96"/>
        <v>8.85</v>
      </c>
    </row>
    <row r="125" spans="1:25" s="9" customFormat="1" ht="15" customHeight="1" hidden="1" outlineLevel="1">
      <c r="A125" s="8"/>
      <c r="B125" s="17"/>
      <c r="D125" s="120"/>
      <c r="E125" s="120"/>
      <c r="F125" s="70" t="s">
        <v>24</v>
      </c>
      <c r="G125" s="71">
        <f aca="true" t="shared" si="97" ref="G125:Y125">$C119/G123</f>
        <v>6.667861690283275</v>
      </c>
      <c r="H125" s="71">
        <f t="shared" si="97"/>
        <v>6.154949252569177</v>
      </c>
      <c r="I125" s="71">
        <f t="shared" si="97"/>
        <v>5.715310020242807</v>
      </c>
      <c r="J125" s="71">
        <f t="shared" si="97"/>
        <v>5.361822183273358</v>
      </c>
      <c r="K125" s="71">
        <f t="shared" si="97"/>
        <v>5.052788164946354</v>
      </c>
      <c r="L125" s="71">
        <f t="shared" si="97"/>
        <v>4.7803671178280585</v>
      </c>
      <c r="M125" s="71">
        <f t="shared" si="97"/>
        <v>4.538460683140683</v>
      </c>
      <c r="N125" s="71">
        <f t="shared" si="97"/>
        <v>4.319902672299537</v>
      </c>
      <c r="O125" s="71">
        <f t="shared" si="97"/>
        <v>4.1143864112299475</v>
      </c>
      <c r="P125" s="71">
        <f t="shared" si="97"/>
        <v>3.9284942228971738</v>
      </c>
      <c r="Q125" s="71">
        <f t="shared" si="97"/>
        <v>3.7595504729093907</v>
      </c>
      <c r="R125" s="71">
        <f t="shared" si="97"/>
        <v>3.6053448582921157</v>
      </c>
      <c r="S125" s="71">
        <f t="shared" si="97"/>
        <v>3.4640354634886283</v>
      </c>
      <c r="T125" s="71">
        <f t="shared" si="97"/>
        <v>3.3254740449490834</v>
      </c>
      <c r="U125" s="71">
        <f t="shared" si="97"/>
        <v>3.1975711970664262</v>
      </c>
      <c r="V125" s="71">
        <f t="shared" si="97"/>
        <v>3.079142634212114</v>
      </c>
      <c r="W125" s="71">
        <f t="shared" si="97"/>
        <v>2.9691732544188243</v>
      </c>
      <c r="X125" s="71">
        <f t="shared" si="97"/>
        <v>2.8667879697836924</v>
      </c>
      <c r="Y125" s="71">
        <f t="shared" si="97"/>
        <v>2.7712283707909027</v>
      </c>
    </row>
    <row r="126" spans="1:25" s="9" customFormat="1" ht="15" customHeight="1" hidden="1" outlineLevel="1">
      <c r="A126" s="8" t="s">
        <v>28</v>
      </c>
      <c r="B126" s="17">
        <f>F$3</f>
        <v>1555000</v>
      </c>
      <c r="C126" s="9">
        <f aca="true" t="shared" si="98" ref="C126:C134">C69</f>
        <v>0</v>
      </c>
      <c r="D126" s="120"/>
      <c r="E126" s="120"/>
      <c r="F126" s="70" t="s">
        <v>25</v>
      </c>
      <c r="G126" s="71">
        <f aca="true" t="shared" si="99" ref="G126:Y126">$B122*$B$6/G123^2*2/1000000</f>
        <v>9.574202223463788</v>
      </c>
      <c r="H126" s="71">
        <f t="shared" si="99"/>
        <v>8.157900119401097</v>
      </c>
      <c r="I126" s="71">
        <f t="shared" si="99"/>
        <v>7.034107756014209</v>
      </c>
      <c r="J126" s="71">
        <f t="shared" si="99"/>
        <v>6.190906500399986</v>
      </c>
      <c r="K126" s="71">
        <f t="shared" si="99"/>
        <v>5.497833875083186</v>
      </c>
      <c r="L126" s="71">
        <f t="shared" si="99"/>
        <v>4.920983756685521</v>
      </c>
      <c r="M126" s="71">
        <f t="shared" si="99"/>
        <v>4.43554087401824</v>
      </c>
      <c r="N126" s="71">
        <f t="shared" si="99"/>
        <v>4.018623829500681</v>
      </c>
      <c r="O126" s="71">
        <f t="shared" si="99"/>
        <v>3.6453529558237205</v>
      </c>
      <c r="P126" s="71">
        <f t="shared" si="99"/>
        <v>3.3233927517549176</v>
      </c>
      <c r="Q126" s="71">
        <f t="shared" si="99"/>
        <v>3.043695975968955</v>
      </c>
      <c r="R126" s="71">
        <f t="shared" si="99"/>
        <v>2.7991299106876877</v>
      </c>
      <c r="S126" s="71">
        <f t="shared" si="99"/>
        <v>2.5840094031905325</v>
      </c>
      <c r="T126" s="71">
        <f t="shared" si="99"/>
        <v>2.3814230659803948</v>
      </c>
      <c r="U126" s="71">
        <f t="shared" si="99"/>
        <v>2.201759491475957</v>
      </c>
      <c r="V126" s="71">
        <f t="shared" si="99"/>
        <v>2.0416864420270873</v>
      </c>
      <c r="W126" s="71">
        <f t="shared" si="99"/>
        <v>1.8984558880583504</v>
      </c>
      <c r="X126" s="71">
        <f t="shared" si="99"/>
        <v>1.7697852749557037</v>
      </c>
      <c r="Y126" s="72">
        <f t="shared" si="99"/>
        <v>1.6537660180419407</v>
      </c>
    </row>
    <row r="127" spans="1:25" s="9" customFormat="1" ht="15" customHeight="1" hidden="1" outlineLevel="1">
      <c r="A127" s="9" t="s">
        <v>29</v>
      </c>
      <c r="B127" s="19">
        <f>0.65*B124+0.35*B126</f>
        <v>1805250</v>
      </c>
      <c r="C127" s="9">
        <f t="shared" si="98"/>
        <v>0</v>
      </c>
      <c r="D127" s="120"/>
      <c r="E127" s="120"/>
      <c r="F127" s="70" t="s">
        <v>26</v>
      </c>
      <c r="G127" s="71">
        <f aca="true" t="shared" si="100" ref="G127:Y127">1.27/(G122*1000000/($B123*$B$6)+0.5*G124/$C121)</f>
        <v>9.462796365178813</v>
      </c>
      <c r="H127" s="71">
        <f t="shared" si="100"/>
        <v>8.320085407308737</v>
      </c>
      <c r="I127" s="71">
        <f t="shared" si="100"/>
        <v>7.375542852139743</v>
      </c>
      <c r="J127" s="71">
        <f t="shared" si="100"/>
        <v>6.452614252684142</v>
      </c>
      <c r="K127" s="71">
        <f t="shared" si="100"/>
        <v>5.679288483073431</v>
      </c>
      <c r="L127" s="71">
        <f t="shared" si="100"/>
        <v>5.025922246740697</v>
      </c>
      <c r="M127" s="71">
        <f t="shared" si="100"/>
        <v>4.4697929758661905</v>
      </c>
      <c r="N127" s="71">
        <f t="shared" si="100"/>
        <v>4.001400819218491</v>
      </c>
      <c r="O127" s="71">
        <f t="shared" si="100"/>
        <v>3.6263632802253656</v>
      </c>
      <c r="P127" s="71">
        <f t="shared" si="100"/>
        <v>3.298837696368465</v>
      </c>
      <c r="Q127" s="71">
        <f t="shared" si="100"/>
        <v>3.011265807009465</v>
      </c>
      <c r="R127" s="71">
        <f t="shared" si="100"/>
        <v>2.757528484310892</v>
      </c>
      <c r="S127" s="71">
        <f t="shared" si="100"/>
        <v>2.5326285987679436</v>
      </c>
      <c r="T127" s="71">
        <f t="shared" si="100"/>
        <v>2.3548909191412672</v>
      </c>
      <c r="U127" s="71">
        <f t="shared" si="100"/>
        <v>2.1953052645432183</v>
      </c>
      <c r="V127" s="71">
        <f t="shared" si="100"/>
        <v>2.0514719601402254</v>
      </c>
      <c r="W127" s="71">
        <f t="shared" si="100"/>
        <v>1.921376556234832</v>
      </c>
      <c r="X127" s="71">
        <f t="shared" si="100"/>
        <v>1.803317692209251</v>
      </c>
      <c r="Y127" s="72">
        <f t="shared" si="100"/>
        <v>1.6958502886293663</v>
      </c>
    </row>
    <row r="128" spans="3:25" s="16" customFormat="1" ht="15" customHeight="1" collapsed="1">
      <c r="C128" s="9">
        <f t="shared" si="98"/>
        <v>0</v>
      </c>
      <c r="D128" s="120"/>
      <c r="E128" s="120"/>
      <c r="F128" s="73" t="s">
        <v>39</v>
      </c>
      <c r="G128" s="74">
        <f aca="true" t="shared" si="101" ref="G128:Y128">MIN(G125,G126,G127)</f>
        <v>6.667861690283275</v>
      </c>
      <c r="H128" s="74">
        <f t="shared" si="101"/>
        <v>6.154949252569177</v>
      </c>
      <c r="I128" s="74">
        <f t="shared" si="101"/>
        <v>5.715310020242807</v>
      </c>
      <c r="J128" s="74">
        <f t="shared" si="101"/>
        <v>5.361822183273358</v>
      </c>
      <c r="K128" s="74">
        <f t="shared" si="101"/>
        <v>5.052788164946354</v>
      </c>
      <c r="L128" s="74">
        <f t="shared" si="101"/>
        <v>4.7803671178280585</v>
      </c>
      <c r="M128" s="74">
        <f t="shared" si="101"/>
        <v>4.43554087401824</v>
      </c>
      <c r="N128" s="74">
        <f t="shared" si="101"/>
        <v>4.001400819218491</v>
      </c>
      <c r="O128" s="74">
        <f t="shared" si="101"/>
        <v>3.6263632802253656</v>
      </c>
      <c r="P128" s="74">
        <f t="shared" si="101"/>
        <v>3.298837696368465</v>
      </c>
      <c r="Q128" s="74">
        <f t="shared" si="101"/>
        <v>3.011265807009465</v>
      </c>
      <c r="R128" s="74">
        <f t="shared" si="101"/>
        <v>2.757528484310892</v>
      </c>
      <c r="S128" s="74">
        <f t="shared" si="101"/>
        <v>2.5326285987679436</v>
      </c>
      <c r="T128" s="74">
        <f t="shared" si="101"/>
        <v>2.3548909191412672</v>
      </c>
      <c r="U128" s="74">
        <f t="shared" si="101"/>
        <v>2.1953052645432183</v>
      </c>
      <c r="V128" s="74">
        <f t="shared" si="101"/>
        <v>2.0416864420270873</v>
      </c>
      <c r="W128" s="74">
        <f t="shared" si="101"/>
        <v>1.8984558880583504</v>
      </c>
      <c r="X128" s="74">
        <f t="shared" si="101"/>
        <v>1.7697852749557037</v>
      </c>
      <c r="Y128" s="75">
        <f t="shared" si="101"/>
        <v>1.6537660180419407</v>
      </c>
    </row>
    <row r="129" spans="3:25" s="8" customFormat="1" ht="15" customHeight="1">
      <c r="C129" s="9">
        <f t="shared" si="98"/>
        <v>0</v>
      </c>
      <c r="D129" s="120"/>
      <c r="E129" s="120"/>
      <c r="F129" s="70" t="s">
        <v>36</v>
      </c>
      <c r="G129" s="71">
        <f aca="true" t="shared" si="102" ref="G129:Y129">145*$B$7*$B127/(G$15*1000)^3/$B$11</f>
        <v>13.572805555555556</v>
      </c>
      <c r="H129" s="71">
        <f t="shared" si="102"/>
        <v>10.675379153390988</v>
      </c>
      <c r="I129" s="71">
        <f t="shared" si="102"/>
        <v>8.54730612244898</v>
      </c>
      <c r="J129" s="71">
        <f t="shared" si="102"/>
        <v>6.949276444444445</v>
      </c>
      <c r="K129" s="71">
        <f t="shared" si="102"/>
        <v>5.72602734375</v>
      </c>
      <c r="L129" s="71">
        <f t="shared" si="102"/>
        <v>4.7738261754528795</v>
      </c>
      <c r="M129" s="71">
        <f t="shared" si="102"/>
        <v>4.0215720164609055</v>
      </c>
      <c r="N129" s="71">
        <f t="shared" si="102"/>
        <v>3.4194209068377313</v>
      </c>
      <c r="O129" s="71">
        <f t="shared" si="102"/>
        <v>2.931726</v>
      </c>
      <c r="P129" s="71">
        <f t="shared" si="102"/>
        <v>2.53253514739229</v>
      </c>
      <c r="Q129" s="71">
        <f t="shared" si="102"/>
        <v>2.202649135987979</v>
      </c>
      <c r="R129" s="71">
        <f t="shared" si="102"/>
        <v>1.927657434042903</v>
      </c>
      <c r="S129" s="71">
        <f t="shared" si="102"/>
        <v>1.6966006944444445</v>
      </c>
      <c r="T129" s="71">
        <f t="shared" si="102"/>
        <v>1.501043712</v>
      </c>
      <c r="U129" s="71">
        <f t="shared" si="102"/>
        <v>1.3344223941738735</v>
      </c>
      <c r="V129" s="71">
        <f t="shared" si="102"/>
        <v>1.1915768937661941</v>
      </c>
      <c r="W129" s="71">
        <f t="shared" si="102"/>
        <v>1.0684132653061225</v>
      </c>
      <c r="X129" s="71">
        <f t="shared" si="102"/>
        <v>0.9616551724137931</v>
      </c>
      <c r="Y129" s="72">
        <f t="shared" si="102"/>
        <v>0.8686595555555556</v>
      </c>
    </row>
    <row r="130" spans="3:25" s="11" customFormat="1" ht="15" customHeight="1">
      <c r="C130" s="9">
        <f t="shared" si="98"/>
        <v>0</v>
      </c>
      <c r="D130" s="121"/>
      <c r="E130" s="121"/>
      <c r="F130" s="76" t="s">
        <v>37</v>
      </c>
      <c r="G130" s="77">
        <f aca="true" t="shared" si="103" ref="G130:Y130">G129*$B$11/$B$12</f>
        <v>6.786402777777778</v>
      </c>
      <c r="H130" s="77">
        <f t="shared" si="103"/>
        <v>5.337689576695494</v>
      </c>
      <c r="I130" s="77">
        <f t="shared" si="103"/>
        <v>4.27365306122449</v>
      </c>
      <c r="J130" s="77">
        <f t="shared" si="103"/>
        <v>3.4746382222222225</v>
      </c>
      <c r="K130" s="77">
        <f t="shared" si="103"/>
        <v>2.863013671875</v>
      </c>
      <c r="L130" s="77">
        <f t="shared" si="103"/>
        <v>2.3869130877264397</v>
      </c>
      <c r="M130" s="77">
        <f t="shared" si="103"/>
        <v>2.0107860082304527</v>
      </c>
      <c r="N130" s="77">
        <f t="shared" si="103"/>
        <v>1.7097104534188656</v>
      </c>
      <c r="O130" s="77">
        <f t="shared" si="103"/>
        <v>1.465863</v>
      </c>
      <c r="P130" s="77">
        <f t="shared" si="103"/>
        <v>1.266267573696145</v>
      </c>
      <c r="Q130" s="77">
        <f t="shared" si="103"/>
        <v>1.1013245679939896</v>
      </c>
      <c r="R130" s="77">
        <f t="shared" si="103"/>
        <v>0.9638287170214515</v>
      </c>
      <c r="S130" s="77">
        <f t="shared" si="103"/>
        <v>0.8483003472222223</v>
      </c>
      <c r="T130" s="77">
        <f t="shared" si="103"/>
        <v>0.750521856</v>
      </c>
      <c r="U130" s="77">
        <f t="shared" si="103"/>
        <v>0.6672111970869368</v>
      </c>
      <c r="V130" s="77">
        <f t="shared" si="103"/>
        <v>0.5957884468830971</v>
      </c>
      <c r="W130" s="77">
        <f t="shared" si="103"/>
        <v>0.5342066326530612</v>
      </c>
      <c r="X130" s="77">
        <f t="shared" si="103"/>
        <v>0.48082758620689653</v>
      </c>
      <c r="Y130" s="78">
        <f t="shared" si="103"/>
        <v>0.4343297777777778</v>
      </c>
    </row>
    <row r="131" spans="2:25" s="9" customFormat="1" ht="15" customHeight="1" hidden="1" outlineLevel="1">
      <c r="B131" s="17"/>
      <c r="C131" s="9">
        <f t="shared" si="98"/>
        <v>0</v>
      </c>
      <c r="D131" s="79"/>
      <c r="E131" s="79"/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2"/>
    </row>
    <row r="132" spans="2:25" s="9" customFormat="1" ht="15" customHeight="1" hidden="1" outlineLevel="1">
      <c r="B132" s="17"/>
      <c r="C132" s="9">
        <f t="shared" si="98"/>
        <v>0</v>
      </c>
      <c r="D132" s="79"/>
      <c r="E132" s="79"/>
      <c r="F132" s="70" t="s">
        <v>21</v>
      </c>
      <c r="G132" s="71">
        <f aca="true" t="shared" si="104" ref="G132:Y132">IF(G$38&lt;$M$4,IF(G$38&lt;$M$3,$N$3*G$97,($N$3+0.095*(G$38-$M$3)/1.25)*G$97),IF(G$38&gt;6,0.9*G$97,(0.86+0.04*(G$38-$M$4)/1.35)*G$97))</f>
        <v>0.6885</v>
      </c>
      <c r="H132" s="71">
        <f t="shared" si="104"/>
        <v>0.80803125</v>
      </c>
      <c r="I132" s="71">
        <f t="shared" si="104"/>
        <v>0.9464350000000001</v>
      </c>
      <c r="J132" s="71">
        <f t="shared" si="104"/>
        <v>1.1131875</v>
      </c>
      <c r="K132" s="71">
        <f t="shared" si="104"/>
        <v>1.2969600000000001</v>
      </c>
      <c r="L132" s="71">
        <f t="shared" si="104"/>
        <v>1.498465</v>
      </c>
      <c r="M132" s="71">
        <f t="shared" si="104"/>
        <v>1.718415</v>
      </c>
      <c r="N132" s="71">
        <f t="shared" si="104"/>
        <v>1.9470601851851852</v>
      </c>
      <c r="O132" s="71">
        <f t="shared" si="104"/>
        <v>2.175925925925926</v>
      </c>
      <c r="P132" s="71">
        <f t="shared" si="104"/>
        <v>2.419375</v>
      </c>
      <c r="Q132" s="71">
        <f t="shared" si="104"/>
        <v>2.6776851851851853</v>
      </c>
      <c r="R132" s="71">
        <f t="shared" si="104"/>
        <v>2.951134259259259</v>
      </c>
      <c r="S132" s="71">
        <f t="shared" si="104"/>
        <v>3.24</v>
      </c>
      <c r="T132" s="71">
        <f t="shared" si="104"/>
        <v>3.515625</v>
      </c>
      <c r="U132" s="71">
        <f t="shared" si="104"/>
        <v>3.8024999999999998</v>
      </c>
      <c r="V132" s="71">
        <f t="shared" si="104"/>
        <v>4.100625000000001</v>
      </c>
      <c r="W132" s="71">
        <f t="shared" si="104"/>
        <v>4.41</v>
      </c>
      <c r="X132" s="71">
        <f t="shared" si="104"/>
        <v>4.730625</v>
      </c>
      <c r="Y132" s="72">
        <f t="shared" si="104"/>
        <v>5.0625</v>
      </c>
    </row>
    <row r="133" spans="2:25" s="9" customFormat="1" ht="15" customHeight="1" hidden="1" outlineLevel="1">
      <c r="B133" s="17"/>
      <c r="C133" s="9">
        <f t="shared" si="98"/>
        <v>0</v>
      </c>
      <c r="D133" s="79"/>
      <c r="E133" s="79"/>
      <c r="F133" s="70" t="s">
        <v>22</v>
      </c>
      <c r="G133" s="71">
        <f aca="true" t="shared" si="105" ref="G133:Y133">G$38/2-G132/G$38</f>
        <v>1.2705</v>
      </c>
      <c r="H133" s="71">
        <f t="shared" si="105"/>
        <v>1.376375</v>
      </c>
      <c r="I133" s="71">
        <f t="shared" si="105"/>
        <v>1.47959</v>
      </c>
      <c r="J133" s="71">
        <f t="shared" si="105"/>
        <v>1.57815</v>
      </c>
      <c r="K133" s="71">
        <f t="shared" si="105"/>
        <v>1.67576</v>
      </c>
      <c r="L133" s="71">
        <f t="shared" si="105"/>
        <v>1.7724199999999999</v>
      </c>
      <c r="M133" s="71">
        <f t="shared" si="105"/>
        <v>1.86813</v>
      </c>
      <c r="N133" s="71">
        <f t="shared" si="105"/>
        <v>1.9650925925925926</v>
      </c>
      <c r="O133" s="71">
        <f t="shared" si="105"/>
        <v>2.064814814814815</v>
      </c>
      <c r="P133" s="71">
        <f t="shared" si="105"/>
        <v>2.1641666666666666</v>
      </c>
      <c r="Q133" s="71">
        <f t="shared" si="105"/>
        <v>2.263148148148148</v>
      </c>
      <c r="R133" s="71">
        <f t="shared" si="105"/>
        <v>2.3617592592592596</v>
      </c>
      <c r="S133" s="71">
        <f t="shared" si="105"/>
        <v>2.46</v>
      </c>
      <c r="T133" s="71">
        <f t="shared" si="105"/>
        <v>2.5625</v>
      </c>
      <c r="U133" s="71">
        <f t="shared" si="105"/>
        <v>2.665</v>
      </c>
      <c r="V133" s="71">
        <f t="shared" si="105"/>
        <v>2.7675</v>
      </c>
      <c r="W133" s="71">
        <f t="shared" si="105"/>
        <v>2.87</v>
      </c>
      <c r="X133" s="71">
        <f t="shared" si="105"/>
        <v>2.9725</v>
      </c>
      <c r="Y133" s="72">
        <f t="shared" si="105"/>
        <v>3.075</v>
      </c>
    </row>
    <row r="134" spans="2:25" s="9" customFormat="1" ht="15" customHeight="1" hidden="1" outlineLevel="1">
      <c r="B134" s="17"/>
      <c r="C134" s="9">
        <f t="shared" si="98"/>
        <v>0</v>
      </c>
      <c r="D134" s="79"/>
      <c r="E134" s="79"/>
      <c r="F134" s="70" t="s">
        <v>23</v>
      </c>
      <c r="G134" s="71">
        <f aca="true" t="shared" si="106" ref="G134:Y134">1.5*G$38-G133</f>
        <v>3.2295</v>
      </c>
      <c r="H134" s="71">
        <f t="shared" si="106"/>
        <v>3.498625</v>
      </c>
      <c r="I134" s="71">
        <f t="shared" si="106"/>
        <v>3.77041</v>
      </c>
      <c r="J134" s="71">
        <f t="shared" si="106"/>
        <v>4.04685</v>
      </c>
      <c r="K134" s="71">
        <f t="shared" si="106"/>
        <v>4.32424</v>
      </c>
      <c r="L134" s="71">
        <f t="shared" si="106"/>
        <v>4.60258</v>
      </c>
      <c r="M134" s="71">
        <f t="shared" si="106"/>
        <v>4.88187</v>
      </c>
      <c r="N134" s="71">
        <f t="shared" si="106"/>
        <v>5.159907407407408</v>
      </c>
      <c r="O134" s="71">
        <f t="shared" si="106"/>
        <v>5.435185185185185</v>
      </c>
      <c r="P134" s="71">
        <f t="shared" si="106"/>
        <v>5.710833333333333</v>
      </c>
      <c r="Q134" s="71">
        <f t="shared" si="106"/>
        <v>5.986851851851852</v>
      </c>
      <c r="R134" s="71">
        <f t="shared" si="106"/>
        <v>6.26324074074074</v>
      </c>
      <c r="S134" s="71">
        <f t="shared" si="106"/>
        <v>6.54</v>
      </c>
      <c r="T134" s="71">
        <f t="shared" si="106"/>
        <v>6.8125</v>
      </c>
      <c r="U134" s="71">
        <f t="shared" si="106"/>
        <v>7.085</v>
      </c>
      <c r="V134" s="71">
        <f t="shared" si="106"/>
        <v>7.3575</v>
      </c>
      <c r="W134" s="71">
        <f t="shared" si="106"/>
        <v>7.63</v>
      </c>
      <c r="X134" s="71">
        <f t="shared" si="106"/>
        <v>7.9025</v>
      </c>
      <c r="Y134" s="72">
        <f t="shared" si="106"/>
        <v>8.175</v>
      </c>
    </row>
    <row r="135" spans="2:25" s="9" customFormat="1" ht="15" customHeight="1" hidden="1" outlineLevel="1">
      <c r="B135" s="17"/>
      <c r="D135" s="79"/>
      <c r="E135" s="79"/>
      <c r="F135" s="70" t="s">
        <v>24</v>
      </c>
      <c r="G135" s="71">
        <f aca="true" t="shared" si="107" ref="G135:Y135">$C136/G133</f>
        <v>8.753668561914791</v>
      </c>
      <c r="H135" s="71">
        <f t="shared" si="107"/>
        <v>8.0803094417675</v>
      </c>
      <c r="I135" s="71">
        <f t="shared" si="107"/>
        <v>7.516633599789633</v>
      </c>
      <c r="J135" s="71">
        <f t="shared" si="107"/>
        <v>7.047198243457683</v>
      </c>
      <c r="K135" s="71">
        <f t="shared" si="107"/>
        <v>6.636711646007031</v>
      </c>
      <c r="L135" s="71">
        <f t="shared" si="107"/>
        <v>6.274774550000983</v>
      </c>
      <c r="M135" s="71">
        <f t="shared" si="107"/>
        <v>5.953298704004936</v>
      </c>
      <c r="N135" s="71">
        <f t="shared" si="107"/>
        <v>5.659548028339896</v>
      </c>
      <c r="O135" s="71">
        <f t="shared" si="107"/>
        <v>5.386214699796305</v>
      </c>
      <c r="P135" s="71">
        <f t="shared" si="107"/>
        <v>5.138946126105234</v>
      </c>
      <c r="Q135" s="71">
        <f t="shared" si="107"/>
        <v>4.914188192678898</v>
      </c>
      <c r="R135" s="71">
        <f t="shared" si="107"/>
        <v>4.709004892988498</v>
      </c>
      <c r="S135" s="71">
        <f t="shared" si="107"/>
        <v>4.5209495560620905</v>
      </c>
      <c r="T135" s="71">
        <f t="shared" si="107"/>
        <v>4.340111573819606</v>
      </c>
      <c r="U135" s="71">
        <f t="shared" si="107"/>
        <v>4.173184205595776</v>
      </c>
      <c r="V135" s="71">
        <f t="shared" si="107"/>
        <v>4.018621827610747</v>
      </c>
      <c r="W135" s="71">
        <f t="shared" si="107"/>
        <v>3.8750996194817917</v>
      </c>
      <c r="X135" s="71">
        <f t="shared" si="107"/>
        <v>3.7414754946720747</v>
      </c>
      <c r="Y135" s="71">
        <f t="shared" si="107"/>
        <v>3.616759644849672</v>
      </c>
    </row>
    <row r="136" spans="1:25" s="9" customFormat="1" ht="15" customHeight="1" hidden="1" outlineLevel="1">
      <c r="A136" s="14"/>
      <c r="B136" s="8">
        <v>1</v>
      </c>
      <c r="C136" s="9">
        <f>C79</f>
        <v>11.121535907912742</v>
      </c>
      <c r="D136" s="79"/>
      <c r="E136" s="79"/>
      <c r="F136" s="70" t="s">
        <v>25</v>
      </c>
      <c r="G136" s="71">
        <f aca="true" t="shared" si="108" ref="G136:Y136">$B139*$B$6/G133^2*2/1000000</f>
        <v>13.846931169637212</v>
      </c>
      <c r="H136" s="71">
        <f t="shared" si="108"/>
        <v>11.798568570578453</v>
      </c>
      <c r="I136" s="71">
        <f t="shared" si="108"/>
        <v>10.209867296611836</v>
      </c>
      <c r="J136" s="71">
        <f t="shared" si="108"/>
        <v>8.974418395617654</v>
      </c>
      <c r="K136" s="71">
        <f t="shared" si="108"/>
        <v>7.959379877681337</v>
      </c>
      <c r="L136" s="71">
        <f t="shared" si="108"/>
        <v>7.114912906305471</v>
      </c>
      <c r="M136" s="71">
        <f t="shared" si="108"/>
        <v>6.404550916512308</v>
      </c>
      <c r="N136" s="71">
        <f t="shared" si="108"/>
        <v>5.788110785825676</v>
      </c>
      <c r="O136" s="71">
        <f t="shared" si="108"/>
        <v>5.242526773372549</v>
      </c>
      <c r="P136" s="71">
        <f t="shared" si="108"/>
        <v>4.7722310822000225</v>
      </c>
      <c r="Q136" s="71">
        <f t="shared" si="108"/>
        <v>4.363921237913437</v>
      </c>
      <c r="R136" s="71">
        <f t="shared" si="108"/>
        <v>4.007113269272978</v>
      </c>
      <c r="S136" s="71">
        <f t="shared" si="108"/>
        <v>3.693453689574012</v>
      </c>
      <c r="T136" s="71">
        <f t="shared" si="108"/>
        <v>3.4038869203114093</v>
      </c>
      <c r="U136" s="71">
        <f t="shared" si="108"/>
        <v>3.1470848005837735</v>
      </c>
      <c r="V136" s="71">
        <f t="shared" si="108"/>
        <v>2.9182843967004537</v>
      </c>
      <c r="W136" s="71">
        <f t="shared" si="108"/>
        <v>2.7135578127482534</v>
      </c>
      <c r="X136" s="71">
        <f t="shared" si="108"/>
        <v>2.5296424794228662</v>
      </c>
      <c r="Y136" s="72">
        <f t="shared" si="108"/>
        <v>2.3638103613273675</v>
      </c>
    </row>
    <row r="137" spans="2:25" s="9" customFormat="1" ht="15" customHeight="1" hidden="1" outlineLevel="1">
      <c r="B137" s="8"/>
      <c r="C137" s="9">
        <f>C80</f>
        <v>48.42192223197519</v>
      </c>
      <c r="D137" s="79"/>
      <c r="E137" s="79"/>
      <c r="F137" s="70" t="s">
        <v>26</v>
      </c>
      <c r="G137" s="71">
        <f aca="true" t="shared" si="109" ref="G137:Y137">1.27/(G132*1000000/($B140*$B$6)+0.5*G134/$C137)</f>
        <v>11.936893233651478</v>
      </c>
      <c r="H137" s="71">
        <f t="shared" si="109"/>
        <v>10.422369919584604</v>
      </c>
      <c r="I137" s="71">
        <f t="shared" si="109"/>
        <v>9.114171370837443</v>
      </c>
      <c r="J137" s="71">
        <f t="shared" si="109"/>
        <v>7.942996458702614</v>
      </c>
      <c r="K137" s="71">
        <f t="shared" si="109"/>
        <v>6.968425342249359</v>
      </c>
      <c r="L137" s="71">
        <f t="shared" si="109"/>
        <v>6.15002826183042</v>
      </c>
      <c r="M137" s="71">
        <f t="shared" si="109"/>
        <v>5.45714803160539</v>
      </c>
      <c r="N137" s="71">
        <f t="shared" si="109"/>
        <v>4.887415556849728</v>
      </c>
      <c r="O137" s="71">
        <f t="shared" si="109"/>
        <v>4.425477457793861</v>
      </c>
      <c r="P137" s="71">
        <f t="shared" si="109"/>
        <v>4.023451921627892</v>
      </c>
      <c r="Q137" s="71">
        <f t="shared" si="109"/>
        <v>3.6715334690035775</v>
      </c>
      <c r="R137" s="71">
        <f t="shared" si="109"/>
        <v>3.3618371658132262</v>
      </c>
      <c r="S137" s="71">
        <f t="shared" si="109"/>
        <v>3.087964272140252</v>
      </c>
      <c r="T137" s="71">
        <f t="shared" si="109"/>
        <v>2.8646831607237866</v>
      </c>
      <c r="U137" s="71">
        <f t="shared" si="109"/>
        <v>2.6648236833816568</v>
      </c>
      <c r="V137" s="71">
        <f t="shared" si="109"/>
        <v>2.4852144795768027</v>
      </c>
      <c r="W137" s="71">
        <f t="shared" si="109"/>
        <v>2.3232043210126467</v>
      </c>
      <c r="X137" s="71">
        <f t="shared" si="109"/>
        <v>2.176562828503903</v>
      </c>
      <c r="Y137" s="72">
        <f t="shared" si="109"/>
        <v>2.043402650251565</v>
      </c>
    </row>
    <row r="138" spans="2:25" s="9" customFormat="1" ht="15" customHeight="1" collapsed="1">
      <c r="B138" s="8"/>
      <c r="C138" s="9">
        <f>C81</f>
        <v>40.49619800261676</v>
      </c>
      <c r="D138" s="122">
        <f>B136</f>
        <v>1</v>
      </c>
      <c r="E138" s="119">
        <v>11.78</v>
      </c>
      <c r="F138" s="70" t="s">
        <v>38</v>
      </c>
      <c r="G138" s="71">
        <f aca="true" t="shared" si="110" ref="G138:Y138">MIN(G135,G136,G137)</f>
        <v>8.753668561914791</v>
      </c>
      <c r="H138" s="71">
        <f t="shared" si="110"/>
        <v>8.0803094417675</v>
      </c>
      <c r="I138" s="71">
        <f t="shared" si="110"/>
        <v>7.516633599789633</v>
      </c>
      <c r="J138" s="71">
        <f t="shared" si="110"/>
        <v>7.047198243457683</v>
      </c>
      <c r="K138" s="71">
        <f t="shared" si="110"/>
        <v>6.636711646007031</v>
      </c>
      <c r="L138" s="71">
        <f t="shared" si="110"/>
        <v>6.15002826183042</v>
      </c>
      <c r="M138" s="71">
        <f t="shared" si="110"/>
        <v>5.45714803160539</v>
      </c>
      <c r="N138" s="71">
        <f t="shared" si="110"/>
        <v>4.887415556849728</v>
      </c>
      <c r="O138" s="71">
        <f t="shared" si="110"/>
        <v>4.425477457793861</v>
      </c>
      <c r="P138" s="71">
        <f t="shared" si="110"/>
        <v>4.023451921627892</v>
      </c>
      <c r="Q138" s="71">
        <f t="shared" si="110"/>
        <v>3.6715334690035775</v>
      </c>
      <c r="R138" s="71">
        <f t="shared" si="110"/>
        <v>3.3618371658132262</v>
      </c>
      <c r="S138" s="71">
        <f t="shared" si="110"/>
        <v>3.087964272140252</v>
      </c>
      <c r="T138" s="71">
        <f t="shared" si="110"/>
        <v>2.8646831607237866</v>
      </c>
      <c r="U138" s="71">
        <f t="shared" si="110"/>
        <v>2.6648236833816568</v>
      </c>
      <c r="V138" s="71">
        <f t="shared" si="110"/>
        <v>2.4852144795768027</v>
      </c>
      <c r="W138" s="71">
        <f t="shared" si="110"/>
        <v>2.3232043210126467</v>
      </c>
      <c r="X138" s="71">
        <f t="shared" si="110"/>
        <v>2.176562828503903</v>
      </c>
      <c r="Y138" s="72">
        <f t="shared" si="110"/>
        <v>2.043402650251565</v>
      </c>
    </row>
    <row r="139" spans="1:25" s="9" customFormat="1" ht="15" customHeight="1" hidden="1" outlineLevel="1">
      <c r="A139" s="15" t="s">
        <v>1</v>
      </c>
      <c r="B139" s="8">
        <f>C$4</f>
        <v>36720</v>
      </c>
      <c r="D139" s="120"/>
      <c r="E139" s="120"/>
      <c r="F139" s="70" t="s">
        <v>27</v>
      </c>
      <c r="G139" s="71">
        <f aca="true" t="shared" si="111" ref="G139:Y139">IF(G$38&lt;$P$4,IF(G$38&lt;$P$3,$Q$3*G$97,($Q$3+($Q$4-$Q$3)*(G$38-$P$3)/($P$4-$P$3))*G$97),IF(G$38&gt;6,0.9*G$97,($Q$4+(0.9-$Q$4)*(G$38-$P$4)/($P$5-$P$4))*G$97))</f>
        <v>0.666</v>
      </c>
      <c r="H139" s="71">
        <f t="shared" si="111"/>
        <v>0.7816249999999999</v>
      </c>
      <c r="I139" s="71">
        <f t="shared" si="111"/>
        <v>0.9065000000000001</v>
      </c>
      <c r="J139" s="71">
        <f t="shared" si="111"/>
        <v>1.07138671875</v>
      </c>
      <c r="K139" s="71">
        <f t="shared" si="111"/>
        <v>1.254</v>
      </c>
      <c r="L139" s="71">
        <f t="shared" si="111"/>
        <v>1.4551601562499998</v>
      </c>
      <c r="M139" s="71">
        <f t="shared" si="111"/>
        <v>1.6756874999999998</v>
      </c>
      <c r="N139" s="71">
        <f t="shared" si="111"/>
        <v>1.9113040865384616</v>
      </c>
      <c r="O139" s="71">
        <f t="shared" si="111"/>
        <v>2.144230769230769</v>
      </c>
      <c r="P139" s="71">
        <f t="shared" si="111"/>
        <v>2.3931670673076924</v>
      </c>
      <c r="Q139" s="71">
        <f t="shared" si="111"/>
        <v>2.6585096153846153</v>
      </c>
      <c r="R139" s="71">
        <f t="shared" si="111"/>
        <v>2.9406550480769234</v>
      </c>
      <c r="S139" s="71">
        <f t="shared" si="111"/>
        <v>3.24</v>
      </c>
      <c r="T139" s="71">
        <f t="shared" si="111"/>
        <v>3.515625</v>
      </c>
      <c r="U139" s="71">
        <f t="shared" si="111"/>
        <v>3.8024999999999998</v>
      </c>
      <c r="V139" s="71">
        <f t="shared" si="111"/>
        <v>4.100625000000001</v>
      </c>
      <c r="W139" s="71">
        <f t="shared" si="111"/>
        <v>4.41</v>
      </c>
      <c r="X139" s="71">
        <f t="shared" si="111"/>
        <v>4.730625</v>
      </c>
      <c r="Y139" s="72">
        <f t="shared" si="111"/>
        <v>5.0625</v>
      </c>
    </row>
    <row r="140" spans="1:25" s="9" customFormat="1" ht="15" customHeight="1" hidden="1" outlineLevel="1">
      <c r="A140" s="15" t="s">
        <v>2</v>
      </c>
      <c r="B140" s="9">
        <f>D$4</f>
        <v>30970</v>
      </c>
      <c r="D140" s="120"/>
      <c r="E140" s="120"/>
      <c r="F140" s="70" t="s">
        <v>22</v>
      </c>
      <c r="G140" s="71">
        <f aca="true" t="shared" si="112" ref="G140:Y140">G$38/2-G139/G$38</f>
        <v>1.278</v>
      </c>
      <c r="H140" s="71">
        <f t="shared" si="112"/>
        <v>1.3845</v>
      </c>
      <c r="I140" s="71">
        <f t="shared" si="112"/>
        <v>1.491</v>
      </c>
      <c r="J140" s="71">
        <f t="shared" si="112"/>
        <v>1.589296875</v>
      </c>
      <c r="K140" s="71">
        <f t="shared" si="112"/>
        <v>1.6865</v>
      </c>
      <c r="L140" s="71">
        <f t="shared" si="112"/>
        <v>1.782609375</v>
      </c>
      <c r="M140" s="71">
        <f t="shared" si="112"/>
        <v>1.877625</v>
      </c>
      <c r="N140" s="71">
        <f t="shared" si="112"/>
        <v>1.9726201923076923</v>
      </c>
      <c r="O140" s="71">
        <f t="shared" si="112"/>
        <v>2.0711538461538463</v>
      </c>
      <c r="P140" s="71">
        <f t="shared" si="112"/>
        <v>2.169158653846154</v>
      </c>
      <c r="Q140" s="71">
        <f t="shared" si="112"/>
        <v>2.2666346153846155</v>
      </c>
      <c r="R140" s="71">
        <f t="shared" si="112"/>
        <v>2.363581730769231</v>
      </c>
      <c r="S140" s="71">
        <f t="shared" si="112"/>
        <v>2.46</v>
      </c>
      <c r="T140" s="71">
        <f t="shared" si="112"/>
        <v>2.5625</v>
      </c>
      <c r="U140" s="71">
        <f t="shared" si="112"/>
        <v>2.665</v>
      </c>
      <c r="V140" s="71">
        <f t="shared" si="112"/>
        <v>2.7675</v>
      </c>
      <c r="W140" s="71">
        <f t="shared" si="112"/>
        <v>2.87</v>
      </c>
      <c r="X140" s="71">
        <f t="shared" si="112"/>
        <v>2.9725</v>
      </c>
      <c r="Y140" s="72">
        <f t="shared" si="112"/>
        <v>3.075</v>
      </c>
    </row>
    <row r="141" spans="1:25" s="9" customFormat="1" ht="15" customHeight="1" hidden="1" outlineLevel="1">
      <c r="A141" s="8" t="s">
        <v>3</v>
      </c>
      <c r="B141" s="17">
        <f>E$4</f>
        <v>2414000</v>
      </c>
      <c r="D141" s="120"/>
      <c r="E141" s="120"/>
      <c r="F141" s="70" t="s">
        <v>23</v>
      </c>
      <c r="G141" s="71">
        <f aca="true" t="shared" si="113" ref="G141:Y141">2*(G$38-G140)</f>
        <v>3.444</v>
      </c>
      <c r="H141" s="71">
        <f t="shared" si="113"/>
        <v>3.731</v>
      </c>
      <c r="I141" s="71">
        <f t="shared" si="113"/>
        <v>4.018</v>
      </c>
      <c r="J141" s="71">
        <f t="shared" si="113"/>
        <v>4.32140625</v>
      </c>
      <c r="K141" s="71">
        <f t="shared" si="113"/>
        <v>4.627</v>
      </c>
      <c r="L141" s="71">
        <f t="shared" si="113"/>
        <v>4.93478125</v>
      </c>
      <c r="M141" s="71">
        <f t="shared" si="113"/>
        <v>5.24475</v>
      </c>
      <c r="N141" s="71">
        <f t="shared" si="113"/>
        <v>5.554759615384615</v>
      </c>
      <c r="O141" s="71">
        <f t="shared" si="113"/>
        <v>5.857692307692307</v>
      </c>
      <c r="P141" s="71">
        <f t="shared" si="113"/>
        <v>6.161682692307692</v>
      </c>
      <c r="Q141" s="71">
        <f t="shared" si="113"/>
        <v>6.466730769230769</v>
      </c>
      <c r="R141" s="71">
        <f t="shared" si="113"/>
        <v>6.772836538461538</v>
      </c>
      <c r="S141" s="71">
        <f t="shared" si="113"/>
        <v>7.08</v>
      </c>
      <c r="T141" s="71">
        <f t="shared" si="113"/>
        <v>7.375</v>
      </c>
      <c r="U141" s="71">
        <f t="shared" si="113"/>
        <v>7.67</v>
      </c>
      <c r="V141" s="71">
        <f t="shared" si="113"/>
        <v>7.965</v>
      </c>
      <c r="W141" s="71">
        <f t="shared" si="113"/>
        <v>8.26</v>
      </c>
      <c r="X141" s="71">
        <f t="shared" si="113"/>
        <v>8.555</v>
      </c>
      <c r="Y141" s="72">
        <f t="shared" si="113"/>
        <v>8.85</v>
      </c>
    </row>
    <row r="142" spans="1:25" s="9" customFormat="1" ht="15" customHeight="1" hidden="1" outlineLevel="1">
      <c r="A142" s="8"/>
      <c r="B142" s="17"/>
      <c r="D142" s="120"/>
      <c r="E142" s="120"/>
      <c r="F142" s="70" t="s">
        <v>24</v>
      </c>
      <c r="G142" s="71">
        <f aca="true" t="shared" si="114" ref="G142:Y142">$C136/G140</f>
        <v>8.702297267537357</v>
      </c>
      <c r="H142" s="71">
        <f t="shared" si="114"/>
        <v>8.032889785419098</v>
      </c>
      <c r="I142" s="71">
        <f t="shared" si="114"/>
        <v>7.459111943603448</v>
      </c>
      <c r="J142" s="71">
        <f t="shared" si="114"/>
        <v>6.9977712049001175</v>
      </c>
      <c r="K142" s="71">
        <f t="shared" si="114"/>
        <v>6.594447618092346</v>
      </c>
      <c r="L142" s="71">
        <f t="shared" si="114"/>
        <v>6.238908009733059</v>
      </c>
      <c r="M142" s="71">
        <f t="shared" si="114"/>
        <v>5.923193346867847</v>
      </c>
      <c r="N142" s="71">
        <f t="shared" si="114"/>
        <v>5.6379509604948765</v>
      </c>
      <c r="O142" s="71">
        <f t="shared" si="114"/>
        <v>5.369729500570683</v>
      </c>
      <c r="P142" s="71">
        <f t="shared" si="114"/>
        <v>5.127119626862263</v>
      </c>
      <c r="Q142" s="71">
        <f t="shared" si="114"/>
        <v>4.906629340444258</v>
      </c>
      <c r="R142" s="71">
        <f t="shared" si="114"/>
        <v>4.70537395137727</v>
      </c>
      <c r="S142" s="71">
        <f t="shared" si="114"/>
        <v>4.5209495560620905</v>
      </c>
      <c r="T142" s="71">
        <f t="shared" si="114"/>
        <v>4.340111573819606</v>
      </c>
      <c r="U142" s="71">
        <f t="shared" si="114"/>
        <v>4.173184205595776</v>
      </c>
      <c r="V142" s="71">
        <f t="shared" si="114"/>
        <v>4.018621827610747</v>
      </c>
      <c r="W142" s="71">
        <f t="shared" si="114"/>
        <v>3.8750996194817917</v>
      </c>
      <c r="X142" s="71">
        <f t="shared" si="114"/>
        <v>3.7414754946720747</v>
      </c>
      <c r="Y142" s="71">
        <f t="shared" si="114"/>
        <v>3.616759644849672</v>
      </c>
    </row>
    <row r="143" spans="1:25" s="9" customFormat="1" ht="15" customHeight="1" hidden="1" outlineLevel="1">
      <c r="A143" s="8" t="s">
        <v>28</v>
      </c>
      <c r="B143" s="17">
        <f>F$4</f>
        <v>1880000</v>
      </c>
      <c r="D143" s="120"/>
      <c r="E143" s="120"/>
      <c r="F143" s="70" t="s">
        <v>25</v>
      </c>
      <c r="G143" s="71">
        <f aca="true" t="shared" si="115" ref="G143:Y143">$B139*$B$6/G140^2*2/1000000</f>
        <v>13.684885389084869</v>
      </c>
      <c r="H143" s="71">
        <f t="shared" si="115"/>
        <v>11.660494059338584</v>
      </c>
      <c r="I143" s="71">
        <f t="shared" si="115"/>
        <v>10.054201510348065</v>
      </c>
      <c r="J143" s="71">
        <f t="shared" si="115"/>
        <v>8.848971844869112</v>
      </c>
      <c r="K143" s="71">
        <f t="shared" si="115"/>
        <v>7.85832852834</v>
      </c>
      <c r="L143" s="71">
        <f t="shared" si="115"/>
        <v>7.033807845289698</v>
      </c>
      <c r="M143" s="71">
        <f t="shared" si="115"/>
        <v>6.33994008929349</v>
      </c>
      <c r="N143" s="71">
        <f t="shared" si="115"/>
        <v>5.74401973605547</v>
      </c>
      <c r="O143" s="71">
        <f t="shared" si="115"/>
        <v>5.2104850345600235</v>
      </c>
      <c r="P143" s="71">
        <f t="shared" si="115"/>
        <v>4.750291235673046</v>
      </c>
      <c r="Q143" s="71">
        <f t="shared" si="115"/>
        <v>4.35050666553445</v>
      </c>
      <c r="R143" s="71">
        <f t="shared" si="115"/>
        <v>4.0009361744045115</v>
      </c>
      <c r="S143" s="71">
        <f t="shared" si="115"/>
        <v>3.693453689574012</v>
      </c>
      <c r="T143" s="71">
        <f t="shared" si="115"/>
        <v>3.4038869203114093</v>
      </c>
      <c r="U143" s="71">
        <f t="shared" si="115"/>
        <v>3.1470848005837735</v>
      </c>
      <c r="V143" s="71">
        <f t="shared" si="115"/>
        <v>2.9182843967004537</v>
      </c>
      <c r="W143" s="71">
        <f t="shared" si="115"/>
        <v>2.7135578127482534</v>
      </c>
      <c r="X143" s="71">
        <f t="shared" si="115"/>
        <v>2.5296424794228662</v>
      </c>
      <c r="Y143" s="72">
        <f t="shared" si="115"/>
        <v>2.3638103613273675</v>
      </c>
    </row>
    <row r="144" spans="1:25" s="9" customFormat="1" ht="15" customHeight="1" hidden="1" outlineLevel="1">
      <c r="A144" s="9" t="s">
        <v>29</v>
      </c>
      <c r="B144" s="19">
        <f>0.65*B141+0.35*B143</f>
        <v>2227100</v>
      </c>
      <c r="D144" s="120"/>
      <c r="E144" s="120"/>
      <c r="F144" s="70" t="s">
        <v>26</v>
      </c>
      <c r="G144" s="71">
        <f aca="true" t="shared" si="116" ref="G144:Y144">1.27/(G139*1000000/($B140*$B$6)+0.5*G141/$C138)</f>
        <v>11.220989328382352</v>
      </c>
      <c r="H144" s="71">
        <f t="shared" si="116"/>
        <v>9.845621485881818</v>
      </c>
      <c r="I144" s="71">
        <f t="shared" si="116"/>
        <v>8.711559526608795</v>
      </c>
      <c r="J144" s="71">
        <f t="shared" si="116"/>
        <v>7.603751328643336</v>
      </c>
      <c r="K144" s="71">
        <f t="shared" si="116"/>
        <v>6.678234849524311</v>
      </c>
      <c r="L144" s="71">
        <f t="shared" si="116"/>
        <v>5.898419566083583</v>
      </c>
      <c r="M144" s="71">
        <f t="shared" si="116"/>
        <v>5.236345665212438</v>
      </c>
      <c r="N144" s="71">
        <f t="shared" si="116"/>
        <v>4.6801198736261505</v>
      </c>
      <c r="O144" s="71">
        <f t="shared" si="116"/>
        <v>4.235976186456143</v>
      </c>
      <c r="P144" s="71">
        <f t="shared" si="116"/>
        <v>3.8487570615233</v>
      </c>
      <c r="Q144" s="71">
        <f t="shared" si="116"/>
        <v>3.5093134598508304</v>
      </c>
      <c r="R144" s="71">
        <f t="shared" si="116"/>
        <v>3.2102536518434692</v>
      </c>
      <c r="S144" s="71">
        <f t="shared" si="116"/>
        <v>2.945553146163816</v>
      </c>
      <c r="T144" s="71">
        <f t="shared" si="116"/>
        <v>2.7368169195815897</v>
      </c>
      <c r="U144" s="71">
        <f t="shared" si="116"/>
        <v>2.54958332859481</v>
      </c>
      <c r="V144" s="71">
        <f t="shared" si="116"/>
        <v>2.3809879251374717</v>
      </c>
      <c r="W144" s="71">
        <f t="shared" si="116"/>
        <v>2.2286292214205536</v>
      </c>
      <c r="X144" s="71">
        <f t="shared" si="116"/>
        <v>2.0904814767551</v>
      </c>
      <c r="Y144" s="72">
        <f t="shared" si="116"/>
        <v>1.9648261146061934</v>
      </c>
    </row>
    <row r="145" spans="4:25" s="16" customFormat="1" ht="15" customHeight="1" collapsed="1">
      <c r="D145" s="120"/>
      <c r="E145" s="120"/>
      <c r="F145" s="73" t="s">
        <v>39</v>
      </c>
      <c r="G145" s="74">
        <f aca="true" t="shared" si="117" ref="G145:Y145">MIN(G142,G143,G144)</f>
        <v>8.702297267537357</v>
      </c>
      <c r="H145" s="74">
        <f t="shared" si="117"/>
        <v>8.032889785419098</v>
      </c>
      <c r="I145" s="74">
        <f t="shared" si="117"/>
        <v>7.459111943603448</v>
      </c>
      <c r="J145" s="74">
        <f t="shared" si="117"/>
        <v>6.9977712049001175</v>
      </c>
      <c r="K145" s="74">
        <f t="shared" si="117"/>
        <v>6.594447618092346</v>
      </c>
      <c r="L145" s="74">
        <f t="shared" si="117"/>
        <v>5.898419566083583</v>
      </c>
      <c r="M145" s="74">
        <f t="shared" si="117"/>
        <v>5.236345665212438</v>
      </c>
      <c r="N145" s="74">
        <f t="shared" si="117"/>
        <v>4.6801198736261505</v>
      </c>
      <c r="O145" s="74">
        <f t="shared" si="117"/>
        <v>4.235976186456143</v>
      </c>
      <c r="P145" s="74">
        <f t="shared" si="117"/>
        <v>3.8487570615233</v>
      </c>
      <c r="Q145" s="74">
        <f t="shared" si="117"/>
        <v>3.5093134598508304</v>
      </c>
      <c r="R145" s="74">
        <f t="shared" si="117"/>
        <v>3.2102536518434692</v>
      </c>
      <c r="S145" s="74">
        <f t="shared" si="117"/>
        <v>2.945553146163816</v>
      </c>
      <c r="T145" s="74">
        <f t="shared" si="117"/>
        <v>2.7368169195815897</v>
      </c>
      <c r="U145" s="74">
        <f t="shared" si="117"/>
        <v>2.54958332859481</v>
      </c>
      <c r="V145" s="74">
        <f t="shared" si="117"/>
        <v>2.3809879251374717</v>
      </c>
      <c r="W145" s="74">
        <f t="shared" si="117"/>
        <v>2.2286292214205536</v>
      </c>
      <c r="X145" s="74">
        <f t="shared" si="117"/>
        <v>2.0904814767551</v>
      </c>
      <c r="Y145" s="75">
        <f t="shared" si="117"/>
        <v>1.9648261146061934</v>
      </c>
    </row>
    <row r="146" spans="4:25" s="8" customFormat="1" ht="15" customHeight="1">
      <c r="D146" s="120"/>
      <c r="E146" s="120"/>
      <c r="F146" s="70" t="s">
        <v>36</v>
      </c>
      <c r="G146" s="71">
        <f aca="true" t="shared" si="118" ref="G146:Y146">145*$B$7*$B144/(G$15*1000)^3/$B$11</f>
        <v>16.744492592592593</v>
      </c>
      <c r="H146" s="71">
        <f t="shared" si="118"/>
        <v>13.169996904870278</v>
      </c>
      <c r="I146" s="71">
        <f t="shared" si="118"/>
        <v>10.544636734693876</v>
      </c>
      <c r="J146" s="71">
        <f t="shared" si="118"/>
        <v>8.573180207407407</v>
      </c>
      <c r="K146" s="71">
        <f t="shared" si="118"/>
        <v>7.064082812500001</v>
      </c>
      <c r="L146" s="71">
        <f t="shared" si="118"/>
        <v>5.889371707714227</v>
      </c>
      <c r="M146" s="71">
        <f t="shared" si="118"/>
        <v>4.961331138545954</v>
      </c>
      <c r="N146" s="71">
        <f t="shared" si="118"/>
        <v>4.2184696311415655</v>
      </c>
      <c r="O146" s="71">
        <f t="shared" si="118"/>
        <v>3.6168104000000003</v>
      </c>
      <c r="P146" s="71">
        <f t="shared" si="118"/>
        <v>3.1243368102796674</v>
      </c>
      <c r="Q146" s="71">
        <f t="shared" si="118"/>
        <v>2.7173631855747558</v>
      </c>
      <c r="R146" s="71">
        <f t="shared" si="118"/>
        <v>2.378111547628832</v>
      </c>
      <c r="S146" s="71">
        <f t="shared" si="118"/>
        <v>2.093061574074074</v>
      </c>
      <c r="T146" s="71">
        <f t="shared" si="118"/>
        <v>1.8518069247999998</v>
      </c>
      <c r="U146" s="71">
        <f t="shared" si="118"/>
        <v>1.6462496131087847</v>
      </c>
      <c r="V146" s="71">
        <f t="shared" si="118"/>
        <v>1.4700240410506529</v>
      </c>
      <c r="W146" s="71">
        <f t="shared" si="118"/>
        <v>1.3180795918367345</v>
      </c>
      <c r="X146" s="71">
        <f t="shared" si="118"/>
        <v>1.1863743162901308</v>
      </c>
      <c r="Y146" s="72">
        <f t="shared" si="118"/>
        <v>1.071647525925926</v>
      </c>
    </row>
    <row r="147" spans="4:25" s="11" customFormat="1" ht="15" customHeight="1">
      <c r="D147" s="121"/>
      <c r="E147" s="121"/>
      <c r="F147" s="76" t="s">
        <v>37</v>
      </c>
      <c r="G147" s="77">
        <f aca="true" t="shared" si="119" ref="G147:Y147">G146*$B$11/$B$12</f>
        <v>8.372246296296296</v>
      </c>
      <c r="H147" s="77">
        <f t="shared" si="119"/>
        <v>6.584998452435139</v>
      </c>
      <c r="I147" s="77">
        <f t="shared" si="119"/>
        <v>5.272318367346938</v>
      </c>
      <c r="J147" s="77">
        <f t="shared" si="119"/>
        <v>4.286590103703704</v>
      </c>
      <c r="K147" s="77">
        <f t="shared" si="119"/>
        <v>3.5320414062500003</v>
      </c>
      <c r="L147" s="77">
        <f t="shared" si="119"/>
        <v>2.9446858538571137</v>
      </c>
      <c r="M147" s="77">
        <f t="shared" si="119"/>
        <v>2.480665569272977</v>
      </c>
      <c r="N147" s="77">
        <f t="shared" si="119"/>
        <v>2.1092348155707827</v>
      </c>
      <c r="O147" s="77">
        <f t="shared" si="119"/>
        <v>1.8084052000000002</v>
      </c>
      <c r="P147" s="77">
        <f t="shared" si="119"/>
        <v>1.5621684051398337</v>
      </c>
      <c r="Q147" s="77">
        <f t="shared" si="119"/>
        <v>1.3586815927873779</v>
      </c>
      <c r="R147" s="77">
        <f t="shared" si="119"/>
        <v>1.189055773814416</v>
      </c>
      <c r="S147" s="77">
        <f t="shared" si="119"/>
        <v>1.046530787037037</v>
      </c>
      <c r="T147" s="77">
        <f t="shared" si="119"/>
        <v>0.9259034623999999</v>
      </c>
      <c r="U147" s="77">
        <f t="shared" si="119"/>
        <v>0.8231248065543924</v>
      </c>
      <c r="V147" s="77">
        <f t="shared" si="119"/>
        <v>0.7350120205253264</v>
      </c>
      <c r="W147" s="77">
        <f t="shared" si="119"/>
        <v>0.6590397959183673</v>
      </c>
      <c r="X147" s="77">
        <f t="shared" si="119"/>
        <v>0.5931871581450654</v>
      </c>
      <c r="Y147" s="78">
        <f t="shared" si="119"/>
        <v>0.535823762962963</v>
      </c>
    </row>
    <row r="148" spans="4:25" s="9" customFormat="1" ht="12.75">
      <c r="D148" s="50"/>
      <c r="E148" s="51"/>
      <c r="F148" s="51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4:25" s="9" customFormat="1" ht="13.5" thickBot="1">
      <c r="D149" s="50"/>
      <c r="E149" s="51"/>
      <c r="F149" s="51"/>
      <c r="G149" s="84">
        <v>3</v>
      </c>
      <c r="H149" s="84">
        <v>3.25</v>
      </c>
      <c r="I149" s="84">
        <v>3.5</v>
      </c>
      <c r="J149" s="84">
        <v>3.75</v>
      </c>
      <c r="K149" s="84">
        <v>4</v>
      </c>
      <c r="L149" s="84">
        <v>4.25</v>
      </c>
      <c r="M149" s="84">
        <v>4.5</v>
      </c>
      <c r="N149" s="84">
        <v>4.75</v>
      </c>
      <c r="O149" s="84">
        <v>5</v>
      </c>
      <c r="P149" s="84">
        <v>5.25</v>
      </c>
      <c r="Q149" s="84">
        <v>5.5</v>
      </c>
      <c r="R149" s="84">
        <v>5.75</v>
      </c>
      <c r="S149" s="84">
        <v>6</v>
      </c>
      <c r="T149" s="84">
        <v>6.25</v>
      </c>
      <c r="U149" s="84">
        <v>6.5</v>
      </c>
      <c r="V149" s="84">
        <v>6.75</v>
      </c>
      <c r="W149" s="84">
        <v>7</v>
      </c>
      <c r="X149" s="84">
        <v>7.25</v>
      </c>
      <c r="Y149" s="68">
        <v>7.5</v>
      </c>
    </row>
  </sheetData>
  <sheetProtection password="DC29" sheet="1" objects="1" scenarios="1"/>
  <mergeCells count="18">
    <mergeCell ref="D138:D147"/>
    <mergeCell ref="E138:E147"/>
    <mergeCell ref="E64:E73"/>
    <mergeCell ref="E81:E90"/>
    <mergeCell ref="E104:E113"/>
    <mergeCell ref="E121:E130"/>
    <mergeCell ref="D64:D73"/>
    <mergeCell ref="D81:D90"/>
    <mergeCell ref="D104:D113"/>
    <mergeCell ref="D121:D130"/>
    <mergeCell ref="E19:E21"/>
    <mergeCell ref="E25:E27"/>
    <mergeCell ref="E31:E33"/>
    <mergeCell ref="E47:E56"/>
    <mergeCell ref="D19:D21"/>
    <mergeCell ref="D25:D27"/>
    <mergeCell ref="D31:D33"/>
    <mergeCell ref="D47:D56"/>
  </mergeCells>
  <printOptions/>
  <pageMargins left="0.2362204724409449" right="0.1968503937007874" top="0.3937007874015748" bottom="0.3937007874015748" header="0.5118110236220472" footer="0.5118110236220472"/>
  <pageSetup horizontalDpi="360" verticalDpi="360" orientation="portrait" paperSize="9" r:id="rId7"/>
  <drawing r:id="rId6"/>
  <legacyDrawing r:id="rId5"/>
  <oleObjects>
    <oleObject progId="CDraw5" shapeId="967439" r:id="rId1"/>
    <oleObject progId="CDraw5" shapeId="967442" r:id="rId2"/>
    <oleObject progId="CDraw5" shapeId="967443" r:id="rId3"/>
    <oleObject progId="CDraw5" shapeId="9674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Vraný</dc:creator>
  <cp:keywords/>
  <dc:description/>
  <cp:lastModifiedBy>CAD detail</cp:lastModifiedBy>
  <cp:lastPrinted>2002-03-21T14:15:57Z</cp:lastPrinted>
  <dcterms:created xsi:type="dcterms:W3CDTF">2002-03-21T14:00:16Z</dcterms:created>
  <dcterms:modified xsi:type="dcterms:W3CDTF">2007-06-27T09:32:44Z</dcterms:modified>
  <cp:category/>
  <cp:version/>
  <cp:contentType/>
  <cp:contentStatus/>
</cp:coreProperties>
</file>